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3"/>
  </bookViews>
  <sheets>
    <sheet name="COTAÇÕES DE MERCADO" sheetId="1" r:id="rId1"/>
    <sheet name="MEMÓRIA " sheetId="2" r:id="rId2"/>
    <sheet name="PLANILHA TOTAL" sheetId="3" r:id="rId3"/>
    <sheet name="Cronograma " sheetId="4" r:id="rId4"/>
  </sheets>
  <externalReferences>
    <externalReference r:id="rId7"/>
    <externalReference r:id="rId8"/>
    <externalReference r:id="rId9"/>
  </externalReferences>
  <definedNames>
    <definedName name="EXTRACT" localSheetId="3">'Cronograma '!#REF!</definedName>
    <definedName name="_xlnm.Print_Area" localSheetId="0">'COTAÇÕES DE MERCADO'!$A$1:$G$19</definedName>
    <definedName name="_xlnm.Print_Area" localSheetId="3">'Cronograma '!$A$1:$AD$26</definedName>
    <definedName name="_xlnm.Print_Area" localSheetId="1">'MEMÓRIA '!$A$1:$G$853</definedName>
    <definedName name="_xlnm.Print_Area" localSheetId="2">'PLANILHA TOTAL'!$A$1:$I$99</definedName>
    <definedName name="BDI" localSheetId="0">#REF!</definedName>
    <definedName name="BDI" localSheetId="3">#REF!</definedName>
    <definedName name="BDI" localSheetId="1">#REF!</definedName>
    <definedName name="BDI" localSheetId="2">#REF!</definedName>
    <definedName name="BDI">#REF!</definedName>
    <definedName name="CRITERIA" localSheetId="3">'Cronograma '!#REF!</definedName>
    <definedName name="_xlnm.Print_Titles" localSheetId="0">'COTAÇÕES DE MERCADO'!$1:$2</definedName>
    <definedName name="_xlnm.Print_Titles" localSheetId="3">'Cronograma '!$10:$12</definedName>
    <definedName name="_xlnm.Print_Titles" localSheetId="1">'MEMÓRIA '!$9:$11</definedName>
    <definedName name="_xlnm.Print_Titles" localSheetId="2">'PLANILHA TOTAL'!$1:$11</definedName>
  </definedNames>
  <calcPr fullCalcOnLoad="1"/>
</workbook>
</file>

<file path=xl/sharedStrings.xml><?xml version="1.0" encoding="utf-8"?>
<sst xmlns="http://schemas.openxmlformats.org/spreadsheetml/2006/main" count="2944" uniqueCount="908">
  <si>
    <t>M2</t>
  </si>
  <si>
    <t>M3</t>
  </si>
  <si>
    <t>M</t>
  </si>
  <si>
    <t>TOTAL</t>
  </si>
  <si>
    <t>1.1</t>
  </si>
  <si>
    <t>1.2</t>
  </si>
  <si>
    <t>1.3</t>
  </si>
  <si>
    <t>1.4</t>
  </si>
  <si>
    <t>1.5</t>
  </si>
  <si>
    <t>UN</t>
  </si>
  <si>
    <t>3.1</t>
  </si>
  <si>
    <t>3.2</t>
  </si>
  <si>
    <t>3.3</t>
  </si>
  <si>
    <t>4.1</t>
  </si>
  <si>
    <t>4.2</t>
  </si>
  <si>
    <t>4.3</t>
  </si>
  <si>
    <t>5.1</t>
  </si>
  <si>
    <t>5.2</t>
  </si>
  <si>
    <t>1.0</t>
  </si>
  <si>
    <t>SERVIÇOS PRELIMINARES</t>
  </si>
  <si>
    <t>2.0</t>
  </si>
  <si>
    <t>3.0</t>
  </si>
  <si>
    <t>4.0</t>
  </si>
  <si>
    <t>5.0</t>
  </si>
  <si>
    <t>6.0</t>
  </si>
  <si>
    <t>7.0</t>
  </si>
  <si>
    <t xml:space="preserve">Estado do Rio de Janeiro                                                        </t>
  </si>
  <si>
    <t>Prefeitura Municipal de Barra Mansa</t>
  </si>
  <si>
    <t xml:space="preserve">Secretaria Municipal de Planejamento Urbano </t>
  </si>
  <si>
    <t>ITEM</t>
  </si>
  <si>
    <t>CODIGO EMOP/ SINAPI</t>
  </si>
  <si>
    <t>DISCRIMINAÇÃO</t>
  </si>
  <si>
    <t>ORÇAMENTO: Engº Alfredo A N M Cunha</t>
  </si>
  <si>
    <t>2.1</t>
  </si>
  <si>
    <t>2.2</t>
  </si>
  <si>
    <t>6.2</t>
  </si>
  <si>
    <t>6.3</t>
  </si>
  <si>
    <t>6.1</t>
  </si>
  <si>
    <t>6.4</t>
  </si>
  <si>
    <t>6.5</t>
  </si>
  <si>
    <t>7.1</t>
  </si>
  <si>
    <t>7.2</t>
  </si>
  <si>
    <t>7.3</t>
  </si>
  <si>
    <t>5.3</t>
  </si>
  <si>
    <t>Local:  Av. Presidente Kennedy, Bairro Ano Bom , Barra Mansa</t>
  </si>
  <si>
    <t>Serviço :Pavimentação, Recapeamento, Micro Drenagem e Revitalização de Calçadas</t>
  </si>
  <si>
    <t>PROJETO: Arqtº Abimar Cavalcante da Cunha</t>
  </si>
  <si>
    <t>LEVANTAMENTO:  Arqtº Abimar Cavalcante da Cunha</t>
  </si>
  <si>
    <t>UNXMES</t>
  </si>
  <si>
    <t>UNXKM</t>
  </si>
  <si>
    <t>1.6</t>
  </si>
  <si>
    <t>1.7</t>
  </si>
  <si>
    <t>1.8</t>
  </si>
  <si>
    <t>T</t>
  </si>
  <si>
    <t>T X KM</t>
  </si>
  <si>
    <t>M3XKM</t>
  </si>
  <si>
    <t>TXKM</t>
  </si>
  <si>
    <t>4.4</t>
  </si>
  <si>
    <t>4.5</t>
  </si>
  <si>
    <t>SI000095880</t>
  </si>
  <si>
    <t>4.6</t>
  </si>
  <si>
    <t>5.4</t>
  </si>
  <si>
    <t>5.5</t>
  </si>
  <si>
    <t>5.6</t>
  </si>
  <si>
    <t>4.7</t>
  </si>
  <si>
    <t>3.4</t>
  </si>
  <si>
    <t>11.013.0075-5</t>
  </si>
  <si>
    <t>1.9</t>
  </si>
  <si>
    <t>1.10</t>
  </si>
  <si>
    <t>3.5</t>
  </si>
  <si>
    <t>3.6</t>
  </si>
  <si>
    <t>4.8</t>
  </si>
  <si>
    <t>4.9</t>
  </si>
  <si>
    <t>4.10</t>
  </si>
  <si>
    <t>4.11</t>
  </si>
  <si>
    <t>4.12</t>
  </si>
  <si>
    <t>4.13</t>
  </si>
  <si>
    <t>4.14</t>
  </si>
  <si>
    <t>4.15</t>
  </si>
  <si>
    <t>3.7</t>
  </si>
  <si>
    <t>Placa de identificacao de obra publica,inclusive pintura e suportes de madeira.fornecimento e colocacao (4 unidades)</t>
  </si>
  <si>
    <t>Aluguel de container para escritorio,medindo 2,20m largura,6,20m comprimento e 2,50m altura,composto de chapas de aco c/ nervuras trapezoidais,isolamento termo-acustico no forro,chassis reforcado e piso em compensado naval, incluindo instala coes eletricas,exclusive transporte(vide item 04.005.0300) ecarga e descarga(vide item 04.013.0015)</t>
  </si>
  <si>
    <t>Transporte de container,segundo descricao da familia 02.006,exclusive carga e descarga(vide item 04.013.0015)</t>
  </si>
  <si>
    <t>Carga e descarga de container,segundo descricao da familia 02.006 (obs.:3%-desgaste de ferramentas e epi).</t>
  </si>
  <si>
    <t>Aluguel de banheiro quimico,portatil,medindo 2,31m altura x 1,56m largura e 1,16m profundidade,inclusive instalacao e re tirada do equipamento,fornecimento de quimica desodorizante,bactericida e bacteriostatica,papel higienico e veiculo prop rio com unidade movel de succao para limpeza</t>
  </si>
  <si>
    <t>Cerca protetora de borda de vala ou obra,com tela plastica na cor laranja ou amarela,considerando 2 vezes de utilizacao, inclusive apoios,fornecimento,colocacao e retirada</t>
  </si>
  <si>
    <t>Arrancamento de meios-fios,de granito ou concreto,retos ou curvos,inclusive empilhamento lateral dentro do canteiro de s ervico (obs.:3%-desgaste de ferramentas e epi).</t>
  </si>
  <si>
    <t>Pavimentação</t>
  </si>
  <si>
    <t>Assentamento de guia (meio-fio) em trecho reto, confeccionada em concreto pré-fabricado, dimensões 100x15x13x30 cm (comprimento x base inferior x base superior x altura), para vias urbanas (uso viário). Af_06/2016</t>
  </si>
  <si>
    <t>Drenagem</t>
  </si>
  <si>
    <t>Reaterro de vala/cava,espalhamento com retro-escavadeira e compactacao vibratoria,exclusive material</t>
  </si>
  <si>
    <t>Caixa de ralo em alvenaria de blocos de concreto(20x20x40cm),em paredes de 0,20m de espessura,de 0,30x0,90x0,90m,para ag uas pluviais,sendo as paredes chapiscadas e revestidas internamente com argamassa,enchimento dos blocos e base em concre to simples fck=10mpa e grelha de ferro fundido de 135kg,inclusive fornecimento de todos os materiais</t>
  </si>
  <si>
    <t>Tampao completo de f§f§,com 250kg,para poco de visita ou caixa de areia,padrao cedae tipo k-240,classe 300,assentado com argamassa de cimento e areia,no traco 1:4 em volume.fornecimento e assentamento (caixa coletora)</t>
  </si>
  <si>
    <t>Construção de ala em concreto armado dosado racionalmente para uma resistencia caracteristica a compressao de 25mpa,inclusive materiais,transporte,preparo com betoneira,lancamento e adensamento,14,00m2 de area moldada,formas e escoramento conforme itens 11.004.0022e 11.004.0035,60kg de aco ca-50,inclusive mao-de-obra para corte,dobragem,montagem e colocacao nas formas</t>
  </si>
  <si>
    <t>Calçadas</t>
  </si>
  <si>
    <t>Demolicao,com equipamento de ar comprimido,de pisos ou pavimentos de concreto simples,inclusive empilhamento lateral den tro do canteiro de servico</t>
  </si>
  <si>
    <t>Piso cimentado,com 1,5cm de espessura,com argamassa de cimento e areia,no traco 1:3,alisado a colher, sobre contrapiso,base ou camada regularizadora,executada com argamassa de cimnento e areia,no traco 1:4,na espessura de 2,5cm</t>
  </si>
  <si>
    <t>Revestimento de piso com ceramica tatil direcional,(ladrilho hidraulico),para pessoas com necessidades especificas,assen tes sobre superficie em osso,conforme item 13.330.0010 (obs.:3%-desgaste de ferramentas e epi).</t>
  </si>
  <si>
    <t>Revestimento de piso com ceramica tatil alerta,(ladrilho hidraulico) para pessoas com necessidades especificas,assentes sobre superficie em osso,conforme item 13.330.0010 (obs.:3%-desgaste de ferramentas e epi).</t>
  </si>
  <si>
    <t>Formas de madeira de 3¦,com aproveitamento da madeira por 4 vezes,para a moldagem de cinta sobre baldrame,inclusive forn ecimento de materiais e desmoldagem</t>
  </si>
  <si>
    <t>Transporte e bota-fora</t>
  </si>
  <si>
    <t>Descarga de materiais e residuos originarios da construcao civil(rcc),classe c (nao reutilizaveis),em locais de disposic ao final autorizados e/ou licenciados a operar pelos orgaosde controle ambiental</t>
  </si>
  <si>
    <t>Execução de mata-burro em concreto armado de 1,10x1,10x2,00m,para coletor de aguas pluviais de 0,60m de diametro com paredes de 0,15m de espessura,sendo a base em concreto dosado para fck=10mpa e revestida de argamassa de cimento e areia,traco 1:4 em volume,degraus de ferro fundido,inclusive fornecimento de todos os materiais , inclusive fornecimento e assentamento de grelha(ralo para sarjeta) completa de f§f§,de 30x90cm,gr-95,carga minima para teste 25t,resistencia maxima de rompimento 27,5t e flecha residual maxima 17mm,assentada com argamassade cimento e areia,no traco 1:4 em volume,sendo articulada. (mata burro )</t>
  </si>
  <si>
    <t>7.4</t>
  </si>
  <si>
    <t>7.7</t>
  </si>
  <si>
    <t>7.5</t>
  </si>
  <si>
    <t>7.6</t>
  </si>
  <si>
    <t>SINALIZACAO MANUAL DE FAIXAS E FIGURAS PARA PEDESTRES,COM TINTA A BASE DE RESINA ACRILICA,EM VIAS URBANAS,COM UTILIZACAO DE PISTOLA PNEUMATICA(SPRAY),CONFORME NORMAS DO DER-RJ</t>
  </si>
  <si>
    <t>05.015.0075-A</t>
  </si>
  <si>
    <t>PLACA DE SINALIZACAO DE RODOVIAS,EM CHAPA DE ACO N§16,TRATADA QUIMICAMENTE,INCLUSIVE PINTURA COM METAL PRIMER NAS DUAS F ACES E ESMALTE SINTETICO PRETO NO VERSO.APLICACAO DE PELICULAS RELETIVAS NO GRAU TECNICO,GRAU DIAMANTE E PELICULA PARA L EGENDA FIXADO EM UM OU DOIS POSTES DE MADEIRA DE LEI.FORNECIMENTO E COLOCACAO</t>
  </si>
  <si>
    <t>09.016.0061-M</t>
  </si>
  <si>
    <t xml:space="preserve">UN </t>
  </si>
  <si>
    <t>SINALIZACAO HORIZONTAL,MECANICA,COM TINTA A BASE DE RESINA ACRILICA,EM VIAS URBANAS,CONFORME NORMAS DO DER-RJ</t>
  </si>
  <si>
    <t>QUANT.</t>
  </si>
  <si>
    <t>PREÇOS (R$)</t>
  </si>
  <si>
    <t>UNIT</t>
  </si>
  <si>
    <t>SUB-TOTAL 1.0=</t>
  </si>
  <si>
    <t>SUB-TOTAL 2.0=</t>
  </si>
  <si>
    <t>SUB-TOTAL 3.0=</t>
  </si>
  <si>
    <t>SUB-TOTAL 4.0=</t>
  </si>
  <si>
    <t>SUB-TOTAL 5.0=</t>
  </si>
  <si>
    <t>SUB-TOTAL 6.0=</t>
  </si>
  <si>
    <t>SUB-TOTAL 7.0=</t>
  </si>
  <si>
    <t>TOTAL GERAL =</t>
  </si>
  <si>
    <t>00453</t>
  </si>
  <si>
    <t>KG</t>
  </si>
  <si>
    <t>00368</t>
  </si>
  <si>
    <t>GL</t>
  </si>
  <si>
    <t>H</t>
  </si>
  <si>
    <t>13648</t>
  </si>
  <si>
    <t>UNXME</t>
  </si>
  <si>
    <t>07529</t>
  </si>
  <si>
    <t>CHI</t>
  </si>
  <si>
    <t>CHP</t>
  </si>
  <si>
    <t>14543</t>
  </si>
  <si>
    <t>00149</t>
  </si>
  <si>
    <t>00007</t>
  </si>
  <si>
    <r>
      <t>Carga de material com pa-carregadeira de 1,30m3,exclusive despesas com o caminhao,compreendendo tempo com espera e opera cao para cargas de 50t por dia de 8h</t>
    </r>
    <r>
      <rPr>
        <b/>
        <sz val="12"/>
        <color indexed="8"/>
        <rFont val="Arial"/>
        <family val="2"/>
      </rPr>
      <t xml:space="preserve"> ( material para a execução da pavimentação)</t>
    </r>
  </si>
  <si>
    <t>00506</t>
  </si>
  <si>
    <t>00230</t>
  </si>
  <si>
    <t>00031</t>
  </si>
  <si>
    <t>00030</t>
  </si>
  <si>
    <t>00004</t>
  </si>
  <si>
    <t>00837</t>
  </si>
  <si>
    <t>05845</t>
  </si>
  <si>
    <t>05844</t>
  </si>
  <si>
    <t>00021</t>
  </si>
  <si>
    <t>00019</t>
  </si>
  <si>
    <t>00018</t>
  </si>
  <si>
    <t>00017</t>
  </si>
  <si>
    <t>00001</t>
  </si>
  <si>
    <t>A</t>
  </si>
  <si>
    <t>COMPOSIÇÃO 5.4</t>
  </si>
  <si>
    <t>MERCADO</t>
  </si>
  <si>
    <t>Piso ceramico tatil direcional, amarelo,para portadores de necessidades especificas</t>
  </si>
  <si>
    <t>05350</t>
  </si>
  <si>
    <t>00150</t>
  </si>
  <si>
    <t>COMPOSIÇÃO 5.5</t>
  </si>
  <si>
    <t>Piso ceramico tatil alerta, amarelo, para portadores de necessidades especificas</t>
  </si>
  <si>
    <t>00349</t>
  </si>
  <si>
    <r>
      <t>SUPORTE PARA FIXAÇÃO DE PLACA DE SINALIZAÇÃO VIÁRIA EM AÇO GALVANIZADO DIÂMETRO 2", PINTADOS COM DUAS DEMAOS DE TINTA FENOLICA DE ALTA RESISTENCIA AS INTEMPERIES, DE SEC AGEM RAPIDA, NA COR ALUMINIO. FORNECIMENTO E ASSENTAMENTO</t>
    </r>
    <r>
      <rPr>
        <b/>
        <sz val="12"/>
        <color indexed="8"/>
        <rFont val="Arial"/>
        <family val="2"/>
      </rPr>
      <t xml:space="preserve"> ( POSTE DE 3,0 METROS).</t>
    </r>
  </si>
  <si>
    <t>SUPORTE PARA FIXAÇÃO DE PLACA DE SINALIZAÇÃO VIÁRIA EM AÇO GALVANIZADO DIÂMETRO 2", PINTADOS COM DUAS DEMAOS DE TINTA FENOLICA DE ALTA RESISTENCIA AS INTEMPERIES, DE SEC AGEM RAPIDA, NA COR ALUMINIO. FORNECIMENTO E ASSENTAMENTO</t>
  </si>
  <si>
    <t>AJUSTE</t>
  </si>
  <si>
    <t>Composição</t>
  </si>
  <si>
    <t>TUBO DE FERRO GALVANIZADO DE 2".FORNECIMENTO E COLOCACAO</t>
  </si>
  <si>
    <t>PINTURA DE POSTE RETO DE ACO,DE 3,50 A 6,00M,COM DUAS DEMAOS DE TINTA FENOLICA DE ALTA RESISTENCIA AS INTEMPERIES,DE SEC AGEM RAPIDA,NA COR ALUMINIO</t>
  </si>
  <si>
    <t>ASSENTAMENTO DE POSTE RETO,DE ACO DE 3,50 ATE 6,00M,COM ENGASTAMENTO DA PARTE INFERIOR DA COLUNA DIRETAMENTE NO SOLO,EXC LUSIVE FORNECIMENTO DO POSTE</t>
  </si>
  <si>
    <r>
      <t>SUPORTE PARA FIXAÇÃO DE PLACA DE SINALIZAÇÃO VIÁRIA EM AÇO GALVANIZADO DIÂMETRO 2", PINTADOS COM DUAS DEMAOS DE TINTA FENOLICA DE ALTA RESISTENCIA AS INTEMPERIES, DE SEC AGEM RAPIDA, NA COR ALUMINIO. FORNECIMENTO E ASSENTAMENTO</t>
    </r>
    <r>
      <rPr>
        <b/>
        <sz val="12"/>
        <color indexed="8"/>
        <rFont val="Arial"/>
        <family val="2"/>
      </rPr>
      <t xml:space="preserve"> ( POSTE DE 4,0 METROS)</t>
    </r>
  </si>
  <si>
    <t>02996</t>
  </si>
  <si>
    <t>SOLVENTE P/TINTA DE DEMARCACAO A BASE DERESINA ACRILICA, EM BALDES DE 18 LITROS</t>
  </si>
  <si>
    <t>02995</t>
  </si>
  <si>
    <t>MICRO-ESFERA DE VIDRO, TIPO "PRE-MIX"</t>
  </si>
  <si>
    <t>02994</t>
  </si>
  <si>
    <t>MICRO-ESFERA DE VIDRO, TIPO "DROP-ON"</t>
  </si>
  <si>
    <t>02992</t>
  </si>
  <si>
    <t>TINTA A BASE DE RESINA ACRILICA, PARA SINALIZACAO HORIZONTAL, P/2 ANOS DE DURACAO, EM BALDES DE 18 LITROS</t>
  </si>
  <si>
    <t>TRANSPORTE COM CAMINHÃO BASCULANTE DE 10 M3, EM VIA URBANA PAVIMENTADA, DMT ATÉ 30 KM (UNIDADE: M3XKM). AF_12/2016</t>
  </si>
  <si>
    <t>CARGA DE MATERIAL COM PA-CARREGADEIRA DE 1,30M3,EXCLUSIVE DESPESAS COM O CAMINHAO,COMPREENDENDO TEMPO COM ESPERA E OPERA CAO PARA CARGAS DE 50T POR DIA DE 8H</t>
  </si>
  <si>
    <t>SERVENTE COM ENCARGOS COMPLEMENTARES</t>
  </si>
  <si>
    <t>CTR</t>
  </si>
  <si>
    <t>Tarifa de vazamento de residuos originarios da construcao civil, classe c (resolucao 307 da conama)</t>
  </si>
  <si>
    <t>COTAÇÕES DE MERCADO ORÇAMENTO DA PAVIMENTAÇÃO DA AV. PRESIDENTE KENNEDY</t>
  </si>
  <si>
    <t>CÓDIGO</t>
  </si>
  <si>
    <t>DESCRIÇÃO DO SERVIÇO OU FORNECIMENTO</t>
  </si>
  <si>
    <t>UNIDADE</t>
  </si>
  <si>
    <t xml:space="preserve">DATA BASE </t>
  </si>
  <si>
    <t>PREÇO REFERENCIAL</t>
  </si>
  <si>
    <t xml:space="preserve">PISO TÁTIL DE CONCRETO DIRECIONAL 40X40cm </t>
  </si>
  <si>
    <t>m²</t>
  </si>
  <si>
    <t>CNPJ</t>
  </si>
  <si>
    <t>NOME DA EMPRESA FORNECEDORA</t>
  </si>
  <si>
    <t>TELEFONE</t>
  </si>
  <si>
    <t>CONTATO</t>
  </si>
  <si>
    <t>DATA COTAÇÃO</t>
  </si>
  <si>
    <t>PREÇO COTADO</t>
  </si>
  <si>
    <t>23.447.624/0001-57</t>
  </si>
  <si>
    <t>BRASIL DECORAR</t>
  </si>
  <si>
    <t>(11)2018-4836</t>
  </si>
  <si>
    <t>FERNANDO</t>
  </si>
  <si>
    <t>10.777.166/0001-72</t>
  </si>
  <si>
    <t>MOSAICOS AMAZONAS</t>
  </si>
  <si>
    <t>(11)2016-8329</t>
  </si>
  <si>
    <t>CÁSSIO</t>
  </si>
  <si>
    <t>PREÇO MÉDIO</t>
  </si>
  <si>
    <t>ESPECIFICAÇÃO TÉCNICA</t>
  </si>
  <si>
    <t xml:space="preserve">PISO TÁTIL DE CONCRETO ALERTA 40X40cm </t>
  </si>
  <si>
    <t>ENCARGOS SOCIAIS SOBRE PREÇOS DA MÃO-DE-OBRA: 120,30%(HORA) 75,07%(MÊS)</t>
  </si>
  <si>
    <t>PREGO COM OU SEM CABECA, EM CAIXAS DE 50KG, OU QUANTIDADES EQUIVALENTES, N§12X12A 18X30</t>
  </si>
  <si>
    <t>PINUS, EM PECAS DE 7,50X7,50CM (3"X3")</t>
  </si>
  <si>
    <t>01999</t>
  </si>
  <si>
    <t>MAO-DE-OBRA DE SERVENTE DA CONSTRUCAO CIVIL, INCLUSIVE ENCARGOS SOCIAIS</t>
  </si>
  <si>
    <t>01967</t>
  </si>
  <si>
    <t>MAO-DE-OBRA DE CARPINTEIRO DE ESQUADRIASDE MADEIRA INCLUSIVE ENCARGOS SOCIAIS</t>
  </si>
  <si>
    <t>01966</t>
  </si>
  <si>
    <t>MAO-DE-OBRA DE PINTOR, INCLUSIVE ENCARGOS SOCIAIS</t>
  </si>
  <si>
    <t>01001</t>
  </si>
  <si>
    <t>19.004.0001-2 CAMINHAO CARROC. FIXA, 3,5T (CP)</t>
  </si>
  <si>
    <t>04.005.0300-0</t>
  </si>
  <si>
    <t>TRANSPORTE DE CONTAINER,SEGUNDO DESCRICAO DA FAMILIA 02.006,EXCLUSIVE CARGA E DESCARGA(VIDE ITEM 04.013.0015)</t>
  </si>
  <si>
    <t>02004</t>
  </si>
  <si>
    <t>19.004.0080-4 GUINDAUTO 3,5T, ALCANCE 7,0M (CI)</t>
  </si>
  <si>
    <t>01687</t>
  </si>
  <si>
    <t>19.004.0006-2 CAMINHAO CARROC. FIXA, TRUC. 12T (CP)</t>
  </si>
  <si>
    <t>04.013.0015-0</t>
  </si>
  <si>
    <t>CARGA E DESCARGA DE CONTAINER,SEGUNDO DESCRICAO DA FAMILIA 02.006 (OBS.:3%-DESGASTE DE FERRAMENTAS E EPI).</t>
  </si>
  <si>
    <t>02003</t>
  </si>
  <si>
    <t>19.004.0080-2 GUINDAUTO 3,5T, ALCANCE 7,0M (CP)</t>
  </si>
  <si>
    <t>01689</t>
  </si>
  <si>
    <t>19.004.0006-4 CAMINHAO CARROC. FIXA TRUC. 12T (CI)</t>
  </si>
  <si>
    <t>01688</t>
  </si>
  <si>
    <t>19.004.0006-3 CAMINHAO CARROC. FIXA TRUC. 12T (CF)</t>
  </si>
  <si>
    <t>02.006.0050-0</t>
  </si>
  <si>
    <t>ALUGUEL DE BANHEIRO QUIMICO,PORTATIL,MEDINDO 2,31M ALTURA X 1,56M LARGURA E 1,16M PROFUNDIDADE,INCLUSIVE INSTALACAO E RE TIRADA DO EQUIPAMENTO,FORNECIMENTO DE QUIMICA DESODORIZANTE,BACTERICIDA E BACTERIOSTATICA,PAPEL HIGIENICO E VEICULO PROP RIO COM UNIDADE MOVEL DE SUCCAO PARA LIMPEZA</t>
  </si>
  <si>
    <t>ALUGUEL DE BANHEIRO QUIM., PORT.,2,31X1,56X1,16M, INCL.INST., RETIRADA FORN.QUIMICA DESOD.BACT.PAPEL HIG.UN.MOV.SUCCAO</t>
  </si>
  <si>
    <t>02.011.0010-0</t>
  </si>
  <si>
    <t>CERCA PROTETORA DE BORDA DE VALA OU OBRA,COM TELA PLASTICA NA COR LARANJA OU AMARELA,CONSIDERANDO 2 VEZES DE UTILIZACAO, INCLUSIVE APOIOS,FORNECIMENTO,COLOCACAO E RETIRADA (OBS.:45%-MAO DE OBRA,APOIOS E PERDAS DE MATERIAL).</t>
  </si>
  <si>
    <t>TELA PLASTICA PARA SINALIZACAO DE OBRAS,EM BOBINAS DE (50X1,20)M</t>
  </si>
  <si>
    <t>05.001.0142-0</t>
  </si>
  <si>
    <t>ARRANCAMENTO DE MEIOS-FIOS,DE GRANITO OU CONCRETO,RETOS OU CURVOS,INCLUSIVE EMPILHAMENTO LATERAL DENTRO DO CANTEIRO DE S ERVICO (OBS.:3%-DESGASTE DE FERRAMENTAS E EPI).</t>
  </si>
  <si>
    <t>01862</t>
  </si>
  <si>
    <t>19.005.0028-4 RETRO-ESCAVADEIRA,MOTOR DIESEL 75CV (CI)</t>
  </si>
  <si>
    <t>01860</t>
  </si>
  <si>
    <t>19.005.0028-2 RETRO-ESCAVADEIRA,MOTOR DIESEL 75CV (CP)</t>
  </si>
  <si>
    <t>So000088316</t>
  </si>
  <si>
    <t>So000094273</t>
  </si>
  <si>
    <t>ASSENTAMENTO DE GUIA (MEIO-FIO) EM TRECHO RETO, CONFECCIONADA EM CONCRETO PRÉ-FABRICADO, DIMENSÕES 100X15X13X30 CM (COMPRIMENTO X BASE INFERIOR X BASE SUPERIOR X ALTURA), PARA VIAS URBANAS (USO VIÁRIO). AF_06/2016</t>
  </si>
  <si>
    <t>So04059</t>
  </si>
  <si>
    <t>MEIO-FIO OU GUIA DE CONCRETO, PRE-MOLDADO, COMP 1 M, *30 X 15/ 12* CM (H X L1/L2)</t>
  </si>
  <si>
    <t>So00370</t>
  </si>
  <si>
    <t>AREIA MEDIA - POSTO JAZIDA/FORNECEDOR (RETIRADO NA JAZIDA, SEM TRANSPORTE)</t>
  </si>
  <si>
    <t>So000088309</t>
  </si>
  <si>
    <t>PEDREIRO COM ENCARGOS COMPLEMENTARES</t>
  </si>
  <si>
    <t>So000088629</t>
  </si>
  <si>
    <t>So000088629 ARGAMASSA TRAÇO 1:3 (CIMENTO E AREIA MÉDIA), PREPARO MANUAL. AF_08/2014</t>
  </si>
  <si>
    <t>So34492</t>
  </si>
  <si>
    <t>CONCRETO USINADO BOMBEAVEL, CLASSE DE RESISTENCIA C20, COM BRITA 0 E 1, SLUMP = 100 +/- 20 MM, EXCLUI SERVICO DE BOMBEAMENTO (NBR 8953)</t>
  </si>
  <si>
    <t>So06189</t>
  </si>
  <si>
    <t>TABUA MADEIRA 2A QUALIDADE 2,5 X 30,0CM (1 X 12") NAO APARELHADA</t>
  </si>
  <si>
    <t>So04517</t>
  </si>
  <si>
    <t>PECA DE MADEIRA NATIVA/REGIONAL 2,5 X 7,0 CM (SARRAFO-P/FORMA)</t>
  </si>
  <si>
    <t>PEDRA BRITADA 1 E 2 (MEDIA), PARA REGIAOMETROPOLITANA DO RIO DE JANEIRO</t>
  </si>
  <si>
    <t>CIMENTO PORTLAND EM SACO DE 50KG</t>
  </si>
  <si>
    <t>CIMENTO ASFALTICO DE PETROLEO, CAP 50/70, A GRANEL</t>
  </si>
  <si>
    <t>01820</t>
  </si>
  <si>
    <t>19.006.0006-4 ROLO ESTATICO DE 7 RODAS,AUTOPROPELIDO,99 HP (CI)</t>
  </si>
  <si>
    <t>01818</t>
  </si>
  <si>
    <t>19.006.0006-2 ROLO ESTATICO DE 7 RODAS,AUTOPROPELIDO,99 HP (CP)</t>
  </si>
  <si>
    <t>01080</t>
  </si>
  <si>
    <t>19.006.0019-4 VIBROACABADORA ASF., DIESEL 69CV (CI)</t>
  </si>
  <si>
    <t>01078</t>
  </si>
  <si>
    <t>19.006.0019-2 VIBROACABADORA ASF., DIESEL 69CV (CP)</t>
  </si>
  <si>
    <t>01057</t>
  </si>
  <si>
    <t>19.006.0011-2 USINA P/MIST.BETUM.QUENTE P/60A90T/H(CP)</t>
  </si>
  <si>
    <t>01016</t>
  </si>
  <si>
    <t>19.006.0002-2 ROLO COMPACT. 6 A 9T, MOTOR DIESEL 55CV,INCLUSIVE OPERADOR (CP)</t>
  </si>
  <si>
    <t>04.012.0071-1</t>
  </si>
  <si>
    <t>01257</t>
  </si>
  <si>
    <t>19.005.0030-4 PA CARREGADEIRA,MOTOR DIESEL 100CV,CAPACIDADE RASA 1,3M3 (CI)</t>
  </si>
  <si>
    <t>01255</t>
  </si>
  <si>
    <t>19.005.0030-2 PA CARREGADEIRA,MOTOR DIESEL 100CV,CAPACIDADE RASA 1,3M3 (CP)</t>
  </si>
  <si>
    <t>So000095880</t>
  </si>
  <si>
    <t>TRANSPORTE COM CAMINHÃO BASCULANTE DE 18 M3, EM VIA URBANA PAVIMENTADA, DMT ATÉ 30 KM (UNIDADE: TXKM). AF_12/2016</t>
  </si>
  <si>
    <t>So000089884</t>
  </si>
  <si>
    <t>So000089884 CAMINHÃO BASCULANTE 18 M3, COM CAVALO MECÂNICO DE CAPACIDADE MÁXIMA DE TRAÇÃO COMBINADO DE 45000 KG, POTÊNCIA 330 CV, INCLUSIVE SEMIREBOQUE COM CAÇAMBA METÁLICA - CHI DIURNO. AF_12/2014</t>
  </si>
  <si>
    <t>So000089883</t>
  </si>
  <si>
    <t>So000089883 CAMINHÃO BASCULANTE 18 M3, COM CAVALO MECÂNICO DE CAPACIDADE MÁXIMA DE TRAÇÃO COMBINADO DE 45000 KG, POTÊNCIA 330 CV, INCLUSIVE SEMIREBOQUE COM CAÇAMBA METÁLICA - CHP DIURNO. AF_12/2014</t>
  </si>
  <si>
    <t>03.014.0005-0</t>
  </si>
  <si>
    <t>REATERRO DE VALA/CAVA,ESPALHAMENTO COM RETRO-ESCAVADEIRA E COMPACTACAO VIBRATORIA,EXCLUSIVE MATERIAL (OBS.:3%-DESGASTE DE FERRAMENTAS E EPI).</t>
  </si>
  <si>
    <t>01188</t>
  </si>
  <si>
    <t>19.006.0001-4 SOCADOR PNEUMATICO 18,5 KG (CI)</t>
  </si>
  <si>
    <t>01187</t>
  </si>
  <si>
    <t>19.006.0001-2 SOCADOR PNEUMATICO 18,5KG (CP)</t>
  </si>
  <si>
    <t>01607</t>
  </si>
  <si>
    <t>07.002.0030-1 ARGAMASSA CIM.,AREIA TRACO 1:4,PREPAROMECANICO</t>
  </si>
  <si>
    <t>01005</t>
  </si>
  <si>
    <t>19.004.0004-3 CAMINHAO CARROC. FIXA, 7,5T (CF)</t>
  </si>
  <si>
    <t>06.015.0030-0</t>
  </si>
  <si>
    <t>CAIXA DE RALO EM ALVENARIA DE BLOCOS DE CONCRETO(20X20X40CM),EM PAREDES DE 0,20M DE ESPESSURA,DE 0,30X0,90X0,90M,PARA AG UAS PLUVIAIS,SENDO AS PAREDES CHAPISCADAS E REVESTIDAS INTERNAMENTE COM ARGAMASSA,ENCHIMENTO DOS BLOCOS E BASE EM CONCRE TO SIMPLES FCK=10MPA E GRELHA DE FERRO FUNDIDO DE 135KG,INCLUSIVE FORNECIMENTO DE TODOS OS MATERIAIS</t>
  </si>
  <si>
    <t>RALO DE FERRO FUNDIDO, P/SARJETA, C/CAIXA (30X90)CM, C/CAIXILHO E GRELHA, TIPO PESADO, PESO TOTAL 135KG</t>
  </si>
  <si>
    <t>01968</t>
  </si>
  <si>
    <t>MAO-DE-OBRA DE PEDREIRO, INCLUSIVE ENCARGOS SOCIAIS</t>
  </si>
  <si>
    <t>03354</t>
  </si>
  <si>
    <t>12.005.0135-1 ALVENARIA CXS.ENTERRADAS 1,60M, BL.CONCR</t>
  </si>
  <si>
    <t>03087</t>
  </si>
  <si>
    <t>13.001.0030-1 EMBOCO ARG. CIM. E AREIA TRACO 1:4</t>
  </si>
  <si>
    <t>01633</t>
  </si>
  <si>
    <t>11.001.0001-1 CONCRETO FCK 10MPA</t>
  </si>
  <si>
    <t>DEGRAU DE FERRO FUNDIDO, PARA CHAMINE DEPOCO DE VISITA, DE 7KG</t>
  </si>
  <si>
    <t>ACO CA-25, ESTIRADO, PRECO DE REVENDEDOR, NO DIAMETRO DE 10,0MM</t>
  </si>
  <si>
    <t>ACO CA-25, ESTIRADO, PRECO DE REVENDEDOR, NO DIAMETRO DE 08,0MM</t>
  </si>
  <si>
    <t>ARAME RECOZIDO N§ 18</t>
  </si>
  <si>
    <t>01998</t>
  </si>
  <si>
    <t>MAO-DE-OBRA DE ARMADOR DE CONCRETO ARMADO, INCLUSIVE ENCARGOS SOCIAIS</t>
  </si>
  <si>
    <t>01640</t>
  </si>
  <si>
    <t>11.004.0021-1 FORMAS MADEIRA PARAM. PLANOS, 2 VEZES</t>
  </si>
  <si>
    <t>01256</t>
  </si>
  <si>
    <t>19.005.0030-3 PA CARREGADEIRA,MOTOR DIESEL 100CV,CAPACIDADE RASA 1,3M3 (CF)</t>
  </si>
  <si>
    <t>06.016.0003-0</t>
  </si>
  <si>
    <t>TAMPAO COMPLETO DE F§F§,COM 250KG,PARA POCO DE VISITA OU CAIXA DE AREIA,PADRAO CEDAE TIPO K-240,CLASSE 300,ASSENTADO COM ARGAMASSA DE CIMENTO E AREIA,NO TRACO 1:4 EM VOLUME.FORNECIMENTO E ASSENTAMENTO</t>
  </si>
  <si>
    <t>TAMPAO DE FERRO FUNDIDO, CIRCULAR, P/POCO DE VISITA OU CAIXA DE AREIA NA RUA, DE225KG, (ESGOTO)</t>
  </si>
  <si>
    <t>11.013.0075-0</t>
  </si>
  <si>
    <t>CONCRETO ARMADO,FCK=25MPA,INCLUINDO MATERIAIS PARA 1,00M3 DE CONCRETO(IMPORTADO DE USINA)ADENSADO E COLOCADO,14,00M2 DE AREA MOLDADA,FORMAS E ESCORAMENTO CONFORME ITENS 11.004.0022E 11.004.0035,60KG DE ACO CA-50,INCLUSIVE MAO-DE-OBRA PARA CORTE,DOBRAGEM,MONTAGEM E COLOCACAO NAS FORMAS (OBS.:3%-DESGASTE DE FERRAMENTAS E EPI).</t>
  </si>
  <si>
    <t>ACO CA-50, ESTIRADO, PRECO DE REVENDEDOR, NO DIAMETRO DE 08,0MM</t>
  </si>
  <si>
    <t>ACO CA-50, ESTIRADO, PRECO DE REVENDEDOR, NO DIAMETRO DE 06,3MM</t>
  </si>
  <si>
    <t>ACO CA-50, ESTIRADO, PRECO DE REVENDEDOR, NO DIAMETRO, DE 25,0MM</t>
  </si>
  <si>
    <t>ACO CA-50, ESTIRADO, PRECO DE REVENDEDOR, NO DIAMETRO DE 16,0MM</t>
  </si>
  <si>
    <t>ACO CA-50, ESTIRADO, PRECO DE REVENDEDOR, NO DIAMETRO DE 12,5MM</t>
  </si>
  <si>
    <t>ACO CA-50, ESTIRADO, PRECO DE REVENDEDOR, NO DIAMETRO DE 10,0MM</t>
  </si>
  <si>
    <t>01990</t>
  </si>
  <si>
    <t>MAO-DE-OBRA DE CARPINTEIRO DE FORMA DE CONCRETO, INCLUSIVE ENCARGOS SOCIAIS</t>
  </si>
  <si>
    <t>03000</t>
  </si>
  <si>
    <t>54.001.0100-1 FORMAS MADEIRA P/MOLDAGEM, INCL. ESCOR.</t>
  </si>
  <si>
    <t>01158</t>
  </si>
  <si>
    <t>19.007.0013-4 VIBRADOR IMERSAO ELETR. 2CV (CI)</t>
  </si>
  <si>
    <t>01157</t>
  </si>
  <si>
    <t>19.007.0013-2 VIBRADOR IMERSAO ELETR. 2CV (CP)</t>
  </si>
  <si>
    <t>11.003.0005-1</t>
  </si>
  <si>
    <t>CONCRETO DOSADO RACIONALMENTE PARA UMA RESISTENCIA CARACTERISTICA A COMPRESSAO DE 25MPA,INCLUSIVE MATERIAIS,TRANSPORTE,P REPARO COM BETONEIRA,LANCAMENTO E ADENSAMENTO (OBS.:5%-PERDAS).</t>
  </si>
  <si>
    <t>AREIA LAVADA, GROSSA, PARA REGIAO METROPOLITANA DO RIO DE JANEIRO</t>
  </si>
  <si>
    <t>01752</t>
  </si>
  <si>
    <t>11.002.0023-1 LANCAMENTO CONC.C/ARM.2,0M3/H,HORIZ/VERT</t>
  </si>
  <si>
    <t>01745</t>
  </si>
  <si>
    <t>11.002.0013-1 PREPARO CONCR. BETON. 320L; 2,0M3/H</t>
  </si>
  <si>
    <t>05.002.0001-0</t>
  </si>
  <si>
    <t>DEMOLICAO,COM EQUIPAMENTO DE AR COMPRIMIDO,DE PISOS OU PAVIMENTOS DE CONCRETO SIMPLES,INCLUSIVE EMPILHAMENTO LATERAL DEN TRO DO CANTEIRO DE SERVICO</t>
  </si>
  <si>
    <t>01545</t>
  </si>
  <si>
    <t>05.002.0010-1 DEMOLICAO PAVIMENT.CONCR., ESP. 20CM</t>
  </si>
  <si>
    <t>01544</t>
  </si>
  <si>
    <t>05.002.0009-1 DEMOLICAO PAVIMENT.CONCR., ESP. 15CM</t>
  </si>
  <si>
    <t>So07156</t>
  </si>
  <si>
    <t>TELA DE ACO SOLDADA NERVURADA, CA-60, Q-196, (3,11 KG/M2), DIAMETRO DO FIO = 5,0 MM, LARGURA =  2,45 M, ESPACAMENTO DA MALHA = 10 X 10 CM</t>
  </si>
  <si>
    <t>So04460</t>
  </si>
  <si>
    <t>SARRAFO DE MADEIRA NAO APARELHADA *2,5 X 10 CM, MACARANDUBA, ANGELIM OU EQUIVALENTE DA REGIAO</t>
  </si>
  <si>
    <t>So03777</t>
  </si>
  <si>
    <t>LONA PLASTICA PRETA, E= 150 MICRA</t>
  </si>
  <si>
    <t>So000088262</t>
  </si>
  <si>
    <t>CARPINTEIRO DE FORMAS COM ENCARGOS COMPLEMENTARES</t>
  </si>
  <si>
    <t>13.301.0120-1</t>
  </si>
  <si>
    <t>CONTRAPISO,BASE OU CAMADA REGULARIZADORA,EXECUTADA COM ARGAMASSA DE CIMNENTO E AREIA,NO TRACO 1:4,NA ESPESSURA DE 2,5CM (OBS.:3%-DESGASTE DE FERRAMENTAS E EPI).</t>
  </si>
  <si>
    <t>13.301.0080-1</t>
  </si>
  <si>
    <t>PISO CIMENTADO,COM 1,5CM DE ESPESSURA,COM ARGAMASSA DE CIMENTO E AREIA,NO TRACO 1:3,ALISADO A COLHER, SOBRE BASE EXISTEN TE (OBS.:3%-DESGASTE DE FERRAMENTAS E EPI).</t>
  </si>
  <si>
    <t>01605</t>
  </si>
  <si>
    <t>07.002.0025-1 ARGAMASSA CIM.,AREIA TRACO 1:3,PREPAROMECANICO</t>
  </si>
  <si>
    <t>13.333.0010-0</t>
  </si>
  <si>
    <t>OXIDO DE FERRO</t>
  </si>
  <si>
    <t>CIMENTO BRANCO</t>
  </si>
  <si>
    <t>01978</t>
  </si>
  <si>
    <t>MAO-DE-OBRA DE LADRILHEIRO, INCLUSIVE ENCARGOS SOCIAIS</t>
  </si>
  <si>
    <t>03429</t>
  </si>
  <si>
    <t>07.001.0130-1 ARGAMASSA CIM.,SAIBRO,AREIA 1:3:3,PREPARO MANUAL</t>
  </si>
  <si>
    <t>03077</t>
  </si>
  <si>
    <t>07.001.0010-1 PASTA DE CIMENTO COMUM</t>
  </si>
  <si>
    <t>13.333.0015-0</t>
  </si>
  <si>
    <t>11.004.0029-0</t>
  </si>
  <si>
    <t>FORMAS DE MADEIRA DE 3¦,COM APROVEITAMENTO DA MADEIRA POR 4 VEZES,PARA A MOLDAGEM DE CINTA SOBRE BALDRAME,INCLUSIVE FORN ECIMENTO DE MATERIAIS E DESMOLDAGEM (OBS.:3%-DESGASTE DE FERRAMENTAS E EPI).</t>
  </si>
  <si>
    <t>PINUS, EM PECAS DE 2,50X30,00CM (1"X12")</t>
  </si>
  <si>
    <t>01787</t>
  </si>
  <si>
    <t>17.025.0040-1 PINTURA C/EMULSAO OLEOSA</t>
  </si>
  <si>
    <t>00369</t>
  </si>
  <si>
    <t>55.001.0012-1 PINUS, PECA 2,5 X 10CM</t>
  </si>
  <si>
    <t xml:space="preserve">Sinalização viária </t>
  </si>
  <si>
    <t>05.015.0075-0</t>
  </si>
  <si>
    <t>07713</t>
  </si>
  <si>
    <t>55.100.0072-1 IMPLANTACAO DE PLACAS DE SINALIZACAO VERTICAL EM RODOVIAS,INCL.TRANSP.C/MOTORISTA,P/UM OU DOIS POSTES DE MADEIRA DE LEI</t>
  </si>
  <si>
    <t>07621</t>
  </si>
  <si>
    <t>54.001.0082-1 REVESTIMENTOS PLACAS ACO P/SINALIZACAO VERT.C/PELICULA REFL.GRAU TECNICO,GRAU DIAMANTE/PELICULA P/LEGENDA.FORN.E APLIC.</t>
  </si>
  <si>
    <t>07617</t>
  </si>
  <si>
    <t>54.001.0077-1 FIXACAO DE PLACA DE SINALIZACAO DE RODOVIAS C/PARAFUSO 5/16"X4",FIXADA EM 1 OU 2POSTES,INCL.PINT.FORN.E COLOC.</t>
  </si>
  <si>
    <t>07614</t>
  </si>
  <si>
    <t>54.001.0074-1 PECA MACARANDUBA DE 3"X3" PARA FIX.DAS PLACAS DE SINALIZACAO VERTICAL (1 OU 2 POSTES DE MADEIRA)</t>
  </si>
  <si>
    <t>07610</t>
  </si>
  <si>
    <t>54.001.0070-1 PINTURA A PISTOLA S/PLACA ACO 16,C/PRIMER SINT.SURFACE SINT.ESMALTE SINT.C/TANTAS DEMAOS NECESSARIAS AO SEU BOM ACAB.</t>
  </si>
  <si>
    <t>07609</t>
  </si>
  <si>
    <t>54.001.0069-1 PREPARO CHAPA ACO 16 P/PLACA SINALIZACAOVERTICAL,INCL.CORTETRATAMENTO DESENGORDURANTE E FORN.DA CHAPA</t>
  </si>
  <si>
    <t>09.016.0061-0</t>
  </si>
  <si>
    <t>TUBO DE FERRO GALVANIZADO DE 2".FORNECIMENTO E COLOCACAO (OBS.:52%-SOLDAS E COLOCACAO).</t>
  </si>
  <si>
    <t>21.009.0010-0</t>
  </si>
  <si>
    <t>PINTURA DE POSTE RETO DE ACO,DE 3,50 A 6,00M,COM DUAS DEMAOS DE TINTA FENOLICA DE ALTA RESISTENCIA AS INTEMPERIES,DE SEC AGEM RAPIDA,NA COR ALUMINIO (OBS.:3%-DESGASTE DE FERRAMENTAS E EPI).</t>
  </si>
  <si>
    <t>21.001.0060-0</t>
  </si>
  <si>
    <t>ASSENTAMENTO DE POSTE RETO,DE ACO DE 3,50 ATE 6,00M,COM ENGASTAMENTO DA PARTE INFERIOR DA COLUNA DIRETAMENTE NO SOLO,EXC LUSIVE FORNECIMENTO DO POSTE (OBS.:3%-DESGASTE DE FERRAMENTAS E EPI).</t>
  </si>
  <si>
    <t>05.020.0020-0</t>
  </si>
  <si>
    <t>SINALIZACAO HORIZONTAL,MECANICA,COM TINTA A BASE DE RESINA ACRILICA,EM VIAS URBANAS,CONFORME NORMAS DO DER-RJ (OBS.:3%-DESGASTE DE FERRAMENTAS E EPI).</t>
  </si>
  <si>
    <t>01972</t>
  </si>
  <si>
    <t>MAO-DE-OBRA DE AUXILIAR DE MECANICO, INCLUSIVE ENCARGOS SOCIAIS</t>
  </si>
  <si>
    <t>01084</t>
  </si>
  <si>
    <t>19.006.0035-2 MAQUINA DEMARCACAO DE FAIXA A FRIO (CP)</t>
  </si>
  <si>
    <t>05.020.0030-0</t>
  </si>
  <si>
    <t>SINALIZACAO MANUAL DE FAIXAS E FIGURAS PARA PEDESTRES,COM TINTA A BASE DE RESINA ACRILICA,EM VIAS URBANAS,COM UTILIZACAO DE PISTOLA PNEUMATICA(SPRAY),CONFORME NORMAS DO DER-RJ (OBS.:3%-DESGASTE DE FERRAMENTAS E EPI).</t>
  </si>
  <si>
    <t>So000095875</t>
  </si>
  <si>
    <t>So000091387</t>
  </si>
  <si>
    <t>So000091387 CAMINHÃO BASCULANTE 10 M3, TRUCADO CABINE SIMPLES, PESO BRUTO TOTAL 23.000 KG, CARGA ÚTIL MÁXIMA 15.935 KG, DISTÂNCIA ENTRE EIXOS 4,80 M, POTÊNCIA 230 CV INCLUSIVE CAÇAMBA METÁLICA - CHI DIURNO. AF_06/2014</t>
  </si>
  <si>
    <t>So000091386</t>
  </si>
  <si>
    <t>So000091386 CAMINHÃO BASCULANTE 10 M3, TRUCADO CABINE SIMPLES, PESO BRUTO TOTAL 23.000 KG, CARGA ÚTIL MÁXIMA 15.935 KG, DISTÂNCIA ENTRE EIXOS 4,80 M, POTÊNCIA 230 CV INCLUSIVE CAÇAMBA METÁLICA - CHP DIURNO. AF_06/2014</t>
  </si>
  <si>
    <t>04.014.0118-0</t>
  </si>
  <si>
    <t xml:space="preserve">UNIT </t>
  </si>
  <si>
    <t>01267</t>
  </si>
  <si>
    <t>19.004.0014-2 CAMINHAO BASCUL. NO TOCO 8 A 10M3 (CP)</t>
  </si>
  <si>
    <t>21.366.659/0001-36</t>
  </si>
  <si>
    <t>PLANETA ACESSÍVEL</t>
  </si>
  <si>
    <t>Janine Nichele</t>
  </si>
  <si>
    <t>COMPACTACAO DE ATERRO,EM CAMADAS DE 20CM,UTILIZANDO COMPACTADOR PNEUMATICO(SAPO),INCLUSIVE COMPRESSOR (volume de material para recompor o borrachudo)</t>
  </si>
  <si>
    <t>EXECUÇÃO DE IMPRIMAÇÃO COM ASFALTO DILUÍDO CM-30. AF_09/2017</t>
  </si>
  <si>
    <t>ASFALTO DILUIDO DE PETROLEO CM-30 (COLETADO CAIXA NA ANP ACRESCIDO DE ICMS)</t>
  </si>
  <si>
    <r>
      <t>Transporte com caminhão basculante de 18 m3, em via urbana pavimentada, dmt até 30 km (unidade: txkm). Af_12/2016. Considerado dmt= 54,45km - MÉDIA USINAS JRO E VALE SUL</t>
    </r>
    <r>
      <rPr>
        <b/>
        <sz val="12"/>
        <color indexed="8"/>
        <rFont val="Arial"/>
        <family val="2"/>
      </rPr>
      <t xml:space="preserve"> ( material para a execução da pavimentação)</t>
    </r>
  </si>
  <si>
    <t>01635</t>
  </si>
  <si>
    <t>11.001.0005-1 CONCRETO FCK 15MPA</t>
  </si>
  <si>
    <t>VOLUME CONFORME TABELA DNIT</t>
  </si>
  <si>
    <t>Ø1200MM</t>
  </si>
  <si>
    <t>Ø600MM</t>
  </si>
  <si>
    <t>4.16</t>
  </si>
  <si>
    <t>Ø1000MM</t>
  </si>
  <si>
    <t>4.17</t>
  </si>
  <si>
    <t>03.010.0101-0</t>
  </si>
  <si>
    <t>COMPACTACAO DE ATERRO,EM CAMADAS DE 20CM,UTILIZANDO COMPACTADOR PNEUMATICO(SAPO),INCLUSIVE COMPRESSOR (OBS.:3%-DESGASTE DE FERRAMENTAS E EPI).</t>
  </si>
  <si>
    <t>01970</t>
  </si>
  <si>
    <t>MAO-DE-OBRA DE OPERADOR DE MAQUINA (TRATOR, ETC), INCLUSIVE ENCARGOS SOCIAIS</t>
  </si>
  <si>
    <t>01100</t>
  </si>
  <si>
    <t>19.011.0002-3 COMPRESSOR AR 170PCM 40CV (CF)</t>
  </si>
  <si>
    <t>01099</t>
  </si>
  <si>
    <t>19.011.0002-2 COMPRESSOR AR 170PCM 40CV (CP)</t>
  </si>
  <si>
    <t>So000083362</t>
  </si>
  <si>
    <t>So000083362 ESPARGIDOR DE ASFALTO PRESSURIZADO, TANQUE 6 M3 COM ISOLAÇÃO TÉRMICA, AQUECIDO COM 2 MAÇARICOS, COM BARRA ESPARGIDORA 3,60 M, MONTADO SOBRE CAMINHÃO  TOCO, PBT 14.300 KG, POTÊNCIA 185 CV - CHP DIURNO. AF_08/2015</t>
  </si>
  <si>
    <t>So000096401</t>
  </si>
  <si>
    <t>1.11</t>
  </si>
  <si>
    <t>TROCA DE BASE - BORRACHUDO</t>
  </si>
  <si>
    <t>REVESTIMENTO DE CONCRETO BETUMINOSO USINADO A QUENTE,COM 8CM DE ESPESSURA,EXECUTADO EM 2 CAMADAS,SENDO A INFERIOR DE LIG ACAO("BINDER"),COM 4CM DE ESPESSURA E A SUPERIOR DE ROLAMENTO,DE ACORDO COM AS "INSTRUCOES PARA EXECUCAO",DO DER-RJ,EXCL USIVE TRANSPORTE DA USINA PARA A PISTA</t>
  </si>
  <si>
    <t>a</t>
  </si>
  <si>
    <t>00029</t>
  </si>
  <si>
    <t>ACO CA-25, ESTIRADO, PRECO DE REVENDEDOR, NO DIAMETRO DE 06,3MM</t>
  </si>
  <si>
    <r>
      <t xml:space="preserve">Data-Base:   EMOP -  RJ / SINAPI e SCO-RJ- </t>
    </r>
    <r>
      <rPr>
        <b/>
        <sz val="12"/>
        <color indexed="8"/>
        <rFont val="Arial"/>
        <family val="2"/>
      </rPr>
      <t>ONERADO</t>
    </r>
    <r>
      <rPr>
        <sz val="12"/>
        <color indexed="8"/>
        <rFont val="Arial"/>
        <family val="2"/>
      </rPr>
      <t xml:space="preserve"> - Base junho-2018</t>
    </r>
  </si>
  <si>
    <t>MEMÓRIA DE CÁLCULO ( ONERADA)</t>
  </si>
  <si>
    <t>So41901</t>
  </si>
  <si>
    <t>So000091486</t>
  </si>
  <si>
    <t>So000091486 ESPARGIDOR DE ASFALTO PRESSURIZADO, TANQUE 6 M3 COM ISOLAÇÃO TÉRMICA, AQUECIDO COM 2 MAÇARICOS, COM BARRA ESPARGIDORA 3,60 M, MONTADO SOBRE CAMINHÃO  TOCO, PBT 14.300 KG, POTÊNCIA 185 CV - CHI DIURNO. AF_08/2015</t>
  </si>
  <si>
    <t>So000089036</t>
  </si>
  <si>
    <t>So000089036 TRATOR DE PNEUS, POTÊNCIA 85 CV, TRAÇÃO 4X4, PESO COM LASTRO DE 4.675 KG - CHI DIURNO. AF_06/2014</t>
  </si>
  <si>
    <t>So000089035</t>
  </si>
  <si>
    <t>So000089035 TRATOR DE PNEUS, POTÊNCIA 85 CV, TRAÇÃO 4X4, PESO COM LASTRO DE 4.675 KG - CHP DIURNO. AF_06/2014</t>
  </si>
  <si>
    <t>So000005839</t>
  </si>
  <si>
    <t>So000005839 VASSOURA MECÂNICA REBOCÁVEL COM ESCOVA CILÍNDRICA, LARGURA ÚTIL DE VARRIMENTO DE 2,44 M - CHP DIURNO. AF_06/2014</t>
  </si>
  <si>
    <t>08.015.0040-0</t>
  </si>
  <si>
    <t>REVESTIMENTO DE CONCRETO BETUMINOSO USINADO A QUENTE,COM 8CM DE ESPESSURA,EXECUTADO EM 2 CAMADAS,SENDO A INFERIOR DE LIG ACAO("BINDER"),COM 4CM DE ESPESSURA E A SUPERIOR DE ROLAMENTO,DE ACORDO COM AS "INSTRUCOES PARA EXECUCAO",DO DER-RJ,EXCL USIVE TRANSPORTE DA USINA PARA A PISTA (OBS.:3%-DESGASTE DE FERRAMENTAS E EPI).</t>
  </si>
  <si>
    <t>01979</t>
  </si>
  <si>
    <t>MAO-DE-OBRA DE LABORATORISTA DE SOLOS A,INCLUSIVE ENCARGOS SOCIAIS</t>
  </si>
  <si>
    <t>01072</t>
  </si>
  <si>
    <t>19.006.0016-2 DISTRIBUIDOR DE ASFALTO SOB PRESSAO (CP)</t>
  </si>
  <si>
    <t>02115</t>
  </si>
  <si>
    <t>58.002.0326-1 PINTURA DE LIGACAO DE ACORDO COM AS INSTRUCOES PARA EXECUCAO DO DER-RJ</t>
  </si>
  <si>
    <t>11.003.0005-1 - concreto dosado racionalmente para uma resistencia caracteristica a compressao de 25mpa,inclusive materiais,transporte,p reparo com betoneira,lancamento e adensamento</t>
  </si>
  <si>
    <t>CONFORME TABELA DNIT</t>
  </si>
  <si>
    <t>06.012.0003-0</t>
  </si>
  <si>
    <t>CAIXA DE AREIA DE CONCRETO ARMADO DE 1,10X1,10X2,00M,PARA COLETOR DE AGUAS PLUVIAIS DE 0,60M DE DIAMETRO COM PAREDES DE 0,15M DE ESPESSURA,SENDO A BASE EM CONCRETO DOSADO PARA FCK=10MPA E REVESTIDA DE ARGAMASSA DE CIMENTO E AREIA,TRACO 1:4 EM VOLUME,DEGRAUS DE FERRO FUNDIDO,INCLUSIVE FORNECIMENTO DETODOS OS MATERIAIS</t>
  </si>
  <si>
    <t>01645</t>
  </si>
  <si>
    <t>11.011.0024-1 CORTE ACO CA-25 DIAM. ENTRE 6,3MM A 8MM</t>
  </si>
  <si>
    <t>01644</t>
  </si>
  <si>
    <t>11.008.0004-1 BARRA ACO CA-25 DIAM. MAIOR/IGUAL 10MM</t>
  </si>
  <si>
    <t>01643</t>
  </si>
  <si>
    <t>58.002.0339-1 BARRA ACO CA-25 REDONDA SEM SALIENCIA OUMOSSA, DIAMETRO DE 6,3MM A 8,0MM (1/4 A5/16)</t>
  </si>
  <si>
    <t>01641</t>
  </si>
  <si>
    <t>11.004.0022-1 FORMAS MADEIRA PARAM. PLANOS; 1,4 VEZES</t>
  </si>
  <si>
    <t>13.301.0120-1 + 13.301.0080-1</t>
  </si>
  <si>
    <t>04.014.0118-5</t>
  </si>
  <si>
    <t>04.006.0014-1</t>
  </si>
  <si>
    <t>CARGA E DESCARGA MANUAL DE MATERIAL QUE EXIJA O CONCURSO DE MAIS DE UM SERVENTE PARA CADA PECA:VERGALHOES,VIGAS DE MADEI RA,CAIXAS E MEIOS-FIOS,EM CAMINHAO DE CARROCERIA FIXA A OLEODIESEL,COM CAPACIDADE UTIL DE 7,5T,INCLUSIVE O TEMPO DE CAR GA,DESCARGA E MANOBRA (OBS.:3%-DESGASTE DE FERRAMENTAS E EPI).</t>
  </si>
  <si>
    <t>01006</t>
  </si>
  <si>
    <t>19.004.0004-4 CAMINHAO CARROC. FIXA 7,5T (CI)</t>
  </si>
  <si>
    <t>01004</t>
  </si>
  <si>
    <t>19.004.0004-2 CAMINHAO CARROC. FIXA, 7,5T (CP)</t>
  </si>
  <si>
    <t>04.005.0006-1</t>
  </si>
  <si>
    <t>TRANSPORTE DE CARGA DE QUALQUER NATUREZA,EXCLUSIVE AS DESPESAS DE CARGA E DESCARGA,TANTO DE ESPERA DO CAMINHAO COMO DO S ERVENTE OU EQUIPAMENTO AUXILIAR,A VELOCIDADE MEDIA DE 30KM/H,EM CAMINHAO DE CARROCERIA FIXA A OLEO DIESEL,COM CAPACIDADE UTIL DE 7,5T (OBS.:3%-DESGASTE DE FERRAMENTAS E EPI).</t>
  </si>
  <si>
    <t>05.002.0100-0</t>
  </si>
  <si>
    <t>LEVANTAMENTO OU REBAIXAMENTO DE TAMPAO DE RUA,CONSIDERANDO DEMOLICAO DE CAMADA DE ASFALTO E CONCRETO,MOVIMENTACAO E CONC RETAGEM,EXCLUSIVE CERCA PROTETORA (OBS.:3%-DESGASTE DE FERRAMENTAS E EPI).</t>
  </si>
  <si>
    <t>01159</t>
  </si>
  <si>
    <t>19.005.0037-2 ROMPEDOR PNEUMATICO DE 32,6KG DE PESO,EXCLUSIVE OPERADOR,PONTEIRA E MANGUEIRA(CP)</t>
  </si>
  <si>
    <t>01969</t>
  </si>
  <si>
    <t>MAO-DE-OBRA DE OPERADOR DE MAQUINAS AUX.(COMPRESSOR, ROLO COMPACTADOR LEVE...),INCLUSIVE ENCARGOS SOCIAIS</t>
  </si>
  <si>
    <t>01631</t>
  </si>
  <si>
    <t>05.003.0016-1 TRANSPORTE MAT. DE POCOS VISITA ATE 20KM</t>
  </si>
  <si>
    <t>01206</t>
  </si>
  <si>
    <t>19.010.0002-4 EQUIPAMENTO MAN., BUCKET MACHINE (CI)</t>
  </si>
  <si>
    <t>01204</t>
  </si>
  <si>
    <t>19.010.0002-2 EQUIPAMENAO MAN., BUCKET MACHINE (CP)</t>
  </si>
  <si>
    <t>05.003.0052-0</t>
  </si>
  <si>
    <t>LIMPEZA MECANICA DE GALERIA CIRCULAR,COM DIAMETRO IGUAL A 1,00M,USANDO BUCKET MACHINE,COM TRANSPORTE DO MATERIAL RETIRAD O ATE 20KM,INCLUSIVE CARGA MANUAL E DESCARGA MECANICA (OBS.:3%-DESGASTE DE FERRAMENTAS E EPI).</t>
  </si>
  <si>
    <t>05.003.0056-0</t>
  </si>
  <si>
    <t>LIMPEZA MECANICA DE GALERIA CIRCULAR,COM DIAMETRO IGUAL A 0,60M,USANDO BUCKET MACHINE,COM TRANSPORTE DO MATERIAL RETIRAD O ATE 20KM,INCLUSIVE CARGA MANUAL E DESCARGA MECANICA (OBS.:3%-DESGASTE DE FERRAMENTAS E EPI).</t>
  </si>
  <si>
    <t>Levantamento ou rebaixamento de tampao de rua,considerando demolicao de camada de asfalto e concreto,movimentacao e conc retagem,exclusive cerca protetora</t>
  </si>
  <si>
    <t>Limpeza mecanica de galeria circular,com diametro igual a 1,00m,usando bucket machine,com transporte do material retirad o ate 20km,inclusive carga manual e descarga mecanica</t>
  </si>
  <si>
    <t>EMULSAO ASFALTICA CATIONICA RM-1C PARA USO EM PAVIMENTACAO ASFALTICA (COLETADO CAIXA NA ANP ACRESCIDO DE ICMS)</t>
  </si>
  <si>
    <t>So41902</t>
  </si>
  <si>
    <t>EXECUÇÃO DE IMPRIMAÇÃO COM EMULSAO ASFALTICA CATIONICA RM-1C . AF_09/2017</t>
  </si>
  <si>
    <t>So000096401 alterado</t>
  </si>
  <si>
    <t>1.12</t>
  </si>
  <si>
    <t>PLACA DE SINALIZACAO PREVENTIVA PARA OBRA NA VIA PUBLICA,DE ACORDO COM A RESOLUCAO DA PREFEITURA-RJ, COMPREENDENDO FORNE CIMENTO E PINTURA DA PLACA E DOS SUPORTES DE MADEIRA.FORNECIMENTO E COLOCACAO</t>
  </si>
  <si>
    <t>00159</t>
  </si>
  <si>
    <t>CHAPA DE MADEIRA COMPENSADA, RESINADA, COM ESPESSURA DE 06MM</t>
  </si>
  <si>
    <t>00125</t>
  </si>
  <si>
    <t>TINTA FUNDO SINTETICO NIVELADOR, PARA MADEIRA, INTERIORES E EXTERIORES</t>
  </si>
  <si>
    <t>02.030.0005-0</t>
  </si>
  <si>
    <t>PLACA DE SINALIZACAO PREVENTIVA PARA OBRA NA VIA PUBLICA,DE ACORDO COM A RESOLUCAO DA PREFEITURA-RJ, COMPREENDENDO FORNE CIMENTO E PINTURA DA PLACA E DOS SUPORTES DE MADEIRA.FORNECIMENTO E COLOCACAO (OBS.:3% - DESGASTE DE FERRAMENTAS E EPI).</t>
  </si>
  <si>
    <t>Carga de material com pa-carregadeira de 1,30m3,exclusive despesas com o caminhao,compreendendo tempo com espera e opera cao para cargas de 50t por dia de 8h ( material para a execução da pavimentação)</t>
  </si>
  <si>
    <t>So000098020</t>
  </si>
  <si>
    <t>BASE PARA POÇO DE VISITA RETANGULAR PARA ESGOTO, EM ALVENARIA COM BLOCOS DE CONCRETO, DIMENSÕES INTERNAS = 2X2 M, PROFUNDIDADE = 1,45 M, EXCLUINDO TAMPÃO. AF_05/2018</t>
  </si>
  <si>
    <t>So000098021</t>
  </si>
  <si>
    <t>ACRÉSCIMO PARA POÇO DE VISITA RETANGULAR PARA ESGOTO, EM ALVENARIA COM BLOCOS DE CONCRETO, DIMENSÕES INTERNAS = 2X2 M. AF_05/2018</t>
  </si>
  <si>
    <t>So25067</t>
  </si>
  <si>
    <t>BLOCO CONCRETO ESTRUTURAL 19 X 19 X 39 CM, FBK 4,5 MPA (NBR 6136)</t>
  </si>
  <si>
    <t>So00660</t>
  </si>
  <si>
    <t>CANALETA CONCRETO 19 X 19 X 19 CM (CLASSE C - NBR 6136)</t>
  </si>
  <si>
    <t>So000092783</t>
  </si>
  <si>
    <t>So000092783 ARMAÇÃO DE LAJE DE UMA ESTRUTURA CONVENCIONAL DE CONCRETO ARMADO EM UMA EDIFICAÇÃO TÉRREA OU SOBRADO UTILIZANDO AÇO CA-60 DE 4,2 MM - MONTAGEM. AF_12/2015</t>
  </si>
  <si>
    <t>So000005679</t>
  </si>
  <si>
    <t>So000005679 RETROESCAVADEIRA SOBRE RODAS COM CARREGADEIRA, TRAÇÃO 4X4, POTÊNCIA LÍQ. 88 HP, CAÇAMBA CARREG. CAP. MÍN. 1 M3, CAÇAMBA RETRO CAP. 0,26 M3, PESO OPERACIONAL MÍN. 6.674 KG, PROFUNDIDADE ESCAVAÇÃO MÁX. 4,37 M - CHI DIURNO. AF_06/2014</t>
  </si>
  <si>
    <t>So000087316</t>
  </si>
  <si>
    <t>So000087316 ARGAMASSA TRAÇO 1:4 (CIMENTO E AREIA GROSSA) PARA CHAPISCO CONVENCIONAL, PREPARO MECÂNICO COM BETONEIRA 400 L. AF_06/2014</t>
  </si>
  <si>
    <t>So000089993</t>
  </si>
  <si>
    <t>So000089993 GRAUTEAMENTO VERTICAL EM ALVENARIA ESTRUTURAL. AF_01/2015</t>
  </si>
  <si>
    <t>So000089995</t>
  </si>
  <si>
    <t>So000089995 GRAUTEAMENTO DE CINTA SUPERIOR OU DE VERGA EM ALVENARIA ESTRUTURAL. AF_01/2015</t>
  </si>
  <si>
    <t>So000005678</t>
  </si>
  <si>
    <t>So000005678 RETROESCAVADEIRA SOBRE RODAS COM CARREGADEIRA, TRAÇÃO 4X4, POTÊNCIA LÍQ. 88 HP, CAÇAMBA CARREG. CAP. MÍN. 1 M3, CAÇAMBA RETRO CAP. 0,26 M3, PESO OPERACIONAL MÍN. 6.674 KG, PROFUNDIDADE ESCAVAÇÃO MÁX. 4,37 M - CHP DIURNO. AF_06/2014</t>
  </si>
  <si>
    <t>So000089998</t>
  </si>
  <si>
    <t>So000089998 ARMAÇÃO DE CINTA DE ALVENARIA ESTRUTURAL; DIÂMETRO DE 10,0 MM. AF_01/2015</t>
  </si>
  <si>
    <t>So000094116</t>
  </si>
  <si>
    <t>So000094116 LASTRO COM PREPARO DE FUNDO, LARGURA MAIOR OU IGUAL A 1,5 M, COM CAMADA DE BRITA, LANÇAMENTO MECANIZADO, EM LOCAL COM NÍVEL BAIXO DE INTERFERÊNCIA. AF_06/2016</t>
  </si>
  <si>
    <t>So000094970</t>
  </si>
  <si>
    <t>So000094970 CONCRETO FCK = 20MPA, TRAÇO 1:2,7:3 (CIMENTO/ AREIA MÉDIA/ BRITA 1)  - PREPARO MECÂNICO COM BETONEIRA 600 L. AF_07/2016</t>
  </si>
  <si>
    <t>So000096920</t>
  </si>
  <si>
    <t>So000096920 ARGAMASSA TRAÇO 1:3 (CIMENTO E AREIA), PREPARO MECANICO , INCLUSO ADITIVO IMPERMEABILIZANTE</t>
  </si>
  <si>
    <t>So000097736</t>
  </si>
  <si>
    <t>So000097736 PEÇA RETANGULAR PRÉ-MOLDADA, VOLUME DE CONCRETO ACIMA DE 100 LITROS, TAXA DE AÇO APROXIMADA DE 30KG/M³. AF_01/2018</t>
  </si>
  <si>
    <t>So000097738</t>
  </si>
  <si>
    <t>So000097738 PEÇA CIRCULAR PRÉ-MOLDADA, VOLUME DE CONCRETO DE 10 A 30 LITROS, TAXA DE FIBRA DE POLIPROPILENO APROXIMADA DE 6 KG/M³. AF_01/2018_P</t>
  </si>
  <si>
    <t>So000089996</t>
  </si>
  <si>
    <t>So000089996 ARMAÇÃO VERTICAL DE ALVENARIA ESTRUTURAL; DIÂMETRO DE 10,0 MM. AF_01/2015</t>
  </si>
  <si>
    <t>06.012.0202-0</t>
  </si>
  <si>
    <t>POCO DE VISITA DE CONCRETO ARMADO COM MEDIDAS INTERNAS DO POCO E PROFUNDIDADE DE 1,10X1,10X1,80M,E DIAMETRO DA GALERIA D E ATE 0,60M,TENDO O CONCRETO DAS PAREDES,FUNDO E TAMPA 400KGE O DA BASE,CALHA E BANQUETA 300KG DE CIMENTO POR M3,SENDO AS PAREDES,CALHA E A BANQUETA REVESTIDAS COM ARGAMASSA,EXCLUSIVE TAMPAO DE FERRO FUNDIDO</t>
  </si>
  <si>
    <t>00520</t>
  </si>
  <si>
    <t>IMPERMEABILIZANTE DE PEGA NORMAL, EM LATAS DE 18KG</t>
  </si>
  <si>
    <t>01155</t>
  </si>
  <si>
    <t>19.007.0003-2 BETONEIRA ELETR. 320L, MISTURA SECA (CP)</t>
  </si>
  <si>
    <t>00365</t>
  </si>
  <si>
    <t>59.003.0010-1 PINUS,PECA 1" X 12" E 1" X 9"</t>
  </si>
  <si>
    <t>01156</t>
  </si>
  <si>
    <t>19.007.0003-4 BETONEIRA ELETR. 320L, MISTURA SECA (CI)</t>
  </si>
  <si>
    <t>b</t>
  </si>
  <si>
    <t>4.18</t>
  </si>
  <si>
    <t>Placa de sinalizacao de rodovias,em chapa de aco n§16,tratada quimicamente,inclusive pintura com metal primer nas duas f aces e esmalte sintetico preto no verso.aplicacao de peliculas reletivas no grau tecnico,grau diamante e pelicula para l egenda fixado em um ou dois postes de madeira de lei.fornecimento e colocacao</t>
  </si>
  <si>
    <t>Suporte para fixação de placa de sinalização viária em aço galvanizado diâmetro 2", pintados com duas demaos de tinta fenolica de alta resistencia as intemperies, de sec agem rapida, na cor aluminio. Fornecimento e assentamento ( poste de 3,0 metros).</t>
  </si>
  <si>
    <t>Suporte para fixação de placa de sinalização viária em aço galvanizado diâmetro 2", pintados com duas demaos de tinta fenolica de alta resistencia as intemperies, de sec agem rapida, na cor aluminio. Fornecimento e assentamento ( poste de 4,0 metros).</t>
  </si>
  <si>
    <t>Sinalizacao horizontal,mecanica,com tinta a base de resina acrilica,em vias urbanas,conforme normas do der-rj</t>
  </si>
  <si>
    <t>Sinalizacao manual de faixas e figuras para pedestres,com tinta a base de resina acrilica,em vias urbanas,com utilizacao de pistola pneumatica(spray),conforme normas do der-rj</t>
  </si>
  <si>
    <t>13636</t>
  </si>
  <si>
    <t>ESCORIA DE ACIARIA, Nø 2, EXCLUSIVE TRANSPORTE</t>
  </si>
  <si>
    <t>Execução de imprimação com emulsao asfaltica cationica RM-1C . Af_09/2017</t>
  </si>
  <si>
    <t>4.19</t>
  </si>
  <si>
    <t>4.20</t>
  </si>
  <si>
    <t>4.21</t>
  </si>
  <si>
    <t>4.22</t>
  </si>
  <si>
    <t>4.23</t>
  </si>
  <si>
    <t>11.016.0020-A</t>
  </si>
  <si>
    <t>Fornecimento e assentamento de grelha de ferro (tampa) constituida de perfis I, barras chatas e dobradiças para portinhola de acesso em um dos lados do mata-burro.</t>
  </si>
  <si>
    <t>01576</t>
  </si>
  <si>
    <t>PERFIL "I" DE ACO CARBONO, PADRAO AMERICANO, PRECO DE REVENDEDOR, DE 6"X3.3/8"</t>
  </si>
  <si>
    <t>Unid.</t>
  </si>
  <si>
    <t>11.016.0020-0</t>
  </si>
  <si>
    <t>ESTRUTURAS DE ELEMENTOS EM PERFIS "I" ATE 8",EM ACO LAMINADO,(VIGAS ISOLADAS,ESCORAS,PORTICOS,ETC),INCLUSIVE PERDAS.FORN ECIMENTO E MONTAGEM (OBS.:3%-DESGASTE DE FERRAMENTAS E EPI).</t>
  </si>
  <si>
    <t>06913</t>
  </si>
  <si>
    <t>MAO-DE-OBRA DE SERRALHEIRO DA CONSTRUCAOCIVIL, INCLUSIVE ENCARGOS SOCIAIS</t>
  </si>
  <si>
    <t>01921</t>
  </si>
  <si>
    <t>MAO-DE-OBRA DE AJUDANTE DE CONSTRUCAO CIVIL, INCLUSIVE ENCARGOS SOCIAIS</t>
  </si>
  <si>
    <t>02174</t>
  </si>
  <si>
    <t>05.025.0041-1 SOLDA TOPO 1/4",CONVERSOR ELETROMOTORIZ.</t>
  </si>
  <si>
    <t>So000094287</t>
  </si>
  <si>
    <t>EXECUÇÃO DE SARJETA DE CONCRETO USINADO, MOLDADA  IN LOCO  EM TRECHO RETO, 30 CM BASE X 10 CM ALTURA. AF_06/2016</t>
  </si>
  <si>
    <t>Execução de mata-burro em concreto armado de 1,20x0,80mx2,00m,para coletor de aguas pluviais de 0,60m de diametro com paredes de 0,15m de espessura,sendo a base em concreto dosado para fck=10mpa e revestida de argamassa de cimento e areia,traco 1:4 em volume,degraus de ferro fundido,inclusive fornecimento de todos os materiais , inclusive fornecimento e assentamento de grelha(ralo para sarjeta) completa de f§f§,de 30x90cm,gr-95,carga minima para teste 25t,resistencia maxima de rompimento 27,5t e flecha residual maxima 17mm,assentada com argamassade cimento e areia,no traco 1:4 em volume,sendo articulada. (mata burro )</t>
  </si>
  <si>
    <t>Demolicao,com equipamento de ar comprimido,de pisos ou pavimentos de concreto simples,inclusive empilhamento lateral dentro do canteiro de servico</t>
  </si>
  <si>
    <t>06.015.0010-0</t>
  </si>
  <si>
    <t>POCO DE VISITA EM ALVENARIA DE BLOCOS DE CONCRETO(20X20X40CM),PAREDES 0,20M DE ESP.C/1,20X1,20X1,40M,P/COLETOR AGUAS PLU VIAIS 0,40 A 0,70M DE DIAM.UTILIZANDO ARG.CIM.AREIA,TRACO 1:4,SENDO PAREDES CHAPISCADAS E REVESTIDAS INTERNAMENTE C/ARG. ,ENCHIMENTO BLOCOS E BASE EM CONCRETO SIMPLES,TAMPA DE CONCR.ARMADO,DEGRAUS FERRO FUNDIDO,INCL.FORN.TODOS OS MATERIAIS</t>
  </si>
  <si>
    <t>CAIXA DE PASSAGEM EM ALVENARIA DE BLOCOS DE CONCRETO(20X20X40CM),PAREDES 0,20M DE ESP.C/1,20X1,20X1,40M,P/COLETOR AGUAS PLU VIAIS 0,40 A 0,70M DE DIAM.UTILIZANDO ARG.CIM.AREIA,TRACO 1:4,SENDO PAREDES CHAPISCADAS E REVESTIDAS INTERNAMENTE C/ARG. ,ENCHIMENTO BLOCOS E BASE EM CONCRETO SIMPLES,TAMPA DE CONCR.ARMADO,DEGRAUS FERRO FUNDIDO,INCL.FORN.TODOS OS MATERIAIS</t>
  </si>
  <si>
    <t>CAIXA COLETORA EM ALVENARIA COM BLOCOS DE CONCRETO, DIMENSÕES INTERNAS  = 2X2 M, PROFUNDIDADE = 2,3M, EXCLUINDO TAMPÃO. AF_05/2018</t>
  </si>
  <si>
    <t>So000098020 + So000098021</t>
  </si>
  <si>
    <t>CAIXA COLETORA EM ALVENARIA COM BLOCOS DE CONCRETO, DIMENSÕES INTERNAS  = 2X2 M, PROFUNDIDADE = 1,6M, EXCLUINDO TAMPÃO. AF_05/2018</t>
  </si>
  <si>
    <t>CAIXA COLETORA EM ALVENARIA COM BLOCOS DE CONCRETO, DIMENSÕES INTERNAS  = 2X2 M, PROFUNDIDADE = 2,4M, EXCLUINDO TAMPÃO. AF_05/2018</t>
  </si>
  <si>
    <t>CAIXA COLETORA EM ALVENARIA COM BLOCOS DE CONCRETO, DIMENSÕES INTERNAS  = 2X2 M, PROFUNDIDADE = 2,8M, EXCLUINDO TAMPÃO. AF_05/2018</t>
  </si>
  <si>
    <t>POÇO DE VISITA EM ALVENARIA COM BLOCOS DE CONCRETO, DIMENSÕES INTERNAS  = 2X2 M, PROFUNDIDADE = 2,7M, EXCLUINDO TAMPÃO. AF_05/2018</t>
  </si>
  <si>
    <t>CAIXA COLETORA EM ALVENARIA COM BLOCOS DE CONCRETO, DIMENSÕES INTERNAS  = 2X2 M, PROFUNDIDADE = 3,1M, EXCLUINDO TAMPÃO. AF_05/2018</t>
  </si>
  <si>
    <t>SAIBRO PARA ARGAMASSA (COLETADO NO COMERCIO)</t>
  </si>
  <si>
    <t>03.010.0049-0</t>
  </si>
  <si>
    <t>MATERIAL DE 1¦ CATEGORIA PARA ATERROS,COMPREENDENDO:ESCAVACAO,CARGA,TRANSPORTE A 30KM EM CAMINHAO BASCULANTE E DESCARGA, CONSIDERANDO O VOLUME NECESSARIO A EXECUCAO DE 1,00M3 DE MATERIAL COMPACTADO (OBS.:3%-DESGASTE DE FERRAMENTAS E EPI).</t>
  </si>
  <si>
    <t>01218</t>
  </si>
  <si>
    <t>19.005.0019-4 TRATOR ESTEIRAS C/LAMINA 2330KG (CI)</t>
  </si>
  <si>
    <t>01216</t>
  </si>
  <si>
    <t>19.005.0019-2 TRATOR ESTEIRAS C/LAMINA 2330KG (CP)</t>
  </si>
  <si>
    <t>SINAPI 06076</t>
  </si>
  <si>
    <t>03.010.0049-6</t>
  </si>
  <si>
    <t>FORNECIMENTO DE SAIBRO PARA ATERROS,COMPREENDENDO:ESCAVACAO,CARGA,TRANSPORTE A 30KM EM CAMINHAO BASCULANTE E DESCARGA .</t>
  </si>
  <si>
    <t>FORNECIMENTO DE AGREGADO SIDERURGICO INERTE PARA ATERROS,COMPREENDENDO:ESCAVACAO,CARGA,TRANSPORTE A 30KM EM CAMINHAO BASCULANTE E DESCARGA .</t>
  </si>
  <si>
    <t>4.24</t>
  </si>
  <si>
    <t>4.25</t>
  </si>
  <si>
    <t>04.014.0095-0</t>
  </si>
  <si>
    <t>RETIRADA DE ENTULHO DE OBRA COM CACAMBA DE ACO TIPO CONTAINER COM 5M3 DE CAPACIDADE,INCLUSIVE CARREGAMENTO,TRANSPORTE E DESCARREGAMENTO.CUSTO POR UNIDADE DE CACAMBA E INCLUI A TAXA PARA DESCARGA EM LOCAIS AUTORIZADOS (OBS.:3%-DESGASTE DE FERRAMENTAS E EPI).</t>
  </si>
  <si>
    <t>10962</t>
  </si>
  <si>
    <t>ALUGUEL CACAMBA DE ACO TIPO CONTAINER C/5M3 CAPAC.P/RETIRADA ENTULHO OBRA,INCLUSIVE CARREGAM.,TRANSP.E DESCARREGAMENTO</t>
  </si>
  <si>
    <t xml:space="preserve">CARGA DE MATERIAL COM PA-CARREGADEIRA DE 1,30M3,EXCLUSIVE DESPESAS COM O CAMINHAO,COMPREENDENDO TEMPO COM ESPERA E OPERA CAO PARA CARGAS DE 50T POR DIA DE 8H </t>
  </si>
  <si>
    <t>Descarga de materiais e residuos originarios da construcao civil(rcc),classe c (nao reutilizaveis),em locais de disposic ao final autorizados e/ou licenciados a operar pelos orgaosde controle ambiente.</t>
  </si>
  <si>
    <t>01114</t>
  </si>
  <si>
    <t>19.005.0008-2 ESCAVADEIRA HIDRAULICA,MOTOR DIESEL 111CV,CAPACIDADE 0,78M3 (CP)</t>
  </si>
  <si>
    <t>ESCORAMENTO DE VALA/CAVA ATE 4,00M DE PROFUNDIDADE,COM PRANCHOES EM PECAS DE MADEIRA DE 3¦ DE 3"X9",CRAVACAO E RETIRADA DOS PRANCHOES COM EQUIPAMENTOS.A MEDICAO DO SERVICO E FEITAPELA AREA EFETIVAMENTE EM CONTATO COM OS PRANCHOES.CONSIDERA NDO A MADEIRA REUTILIZADA 2 VEZES.FORNECIMENTO E COLOCACAO (OBS.:3%-DESGASTE DE FERRAMENTAS E EPI).</t>
  </si>
  <si>
    <t>00367</t>
  </si>
  <si>
    <t>54.001.0176-1 PINUS EM PECAS DE 7,50X22,50CM, (3"X9")</t>
  </si>
  <si>
    <t>01115</t>
  </si>
  <si>
    <t>19.005.0008-3 ESCAVADEIRA HIDRAULICA,MOTOR DIESEL 111CV,CAPACIDADE 0,78M3 (CF)</t>
  </si>
  <si>
    <t>05.098.0002-5</t>
  </si>
  <si>
    <r>
      <t>ESCORAMENTO DE VALA/CAVA ATE 4,00M DE PROFUNDIDADE,COM PRANCHOES EM PECAS DE MADEIRA DE 3¦ DE 3"X9",CRAVACAO E RETIRADA DOS PRANCHOES COM EQUIPAMENTOS.A MEDICAO DO SERVICO E FEITAPELA AREA EFETIVAMENTE EM CONTATO COM OS PRANCHOES.CONSIDERA NDO A MADEIRA</t>
    </r>
    <r>
      <rPr>
        <b/>
        <sz val="12"/>
        <rFont val="Arial"/>
        <family val="2"/>
      </rPr>
      <t xml:space="preserve"> REUTILIZADA 8 VEZES</t>
    </r>
    <r>
      <rPr>
        <sz val="12"/>
        <rFont val="Arial"/>
        <family val="2"/>
      </rPr>
      <t>.FORNECIMENTO E COLOCACAO</t>
    </r>
  </si>
  <si>
    <t>4.26</t>
  </si>
  <si>
    <t>05.003.0054-0</t>
  </si>
  <si>
    <t>LIMPEZA MECANICA DE GALERIA CIRCULAR,COM DIAMETRO IGUAL A 0,80M,USANDO BUCKET MACHINE,COM TRANSPORTE DO MATERIAL RETIRAD O ATE 20KM,INCLUSIVE CARGA MANUAL E DESCARGA MECANICA (OBS.:3%-DESGASTE DE FERRAMENTAS E EPI).</t>
  </si>
  <si>
    <t>4.27</t>
  </si>
  <si>
    <t>4.28</t>
  </si>
  <si>
    <t>4.29</t>
  </si>
  <si>
    <t>4.30</t>
  </si>
  <si>
    <t>05.003.0195-0</t>
  </si>
  <si>
    <t>LIMPEZA MECANICA DE RAMAL DE RALO,COM DIAMETRO MENOR QUE 0,40M,EXCLUSIVE ALUGUEL DO EQUIPAMENTO DE LIMPEZA(BUCKET MACHIN E),INCLUINDO,POREM,A SUA MANUTENCAO,COM TRANSPORTE DO MATERIAL RETIRADO ATE 10KM DE DISTANCIA,INCLUSIVE CARGA MANUAL E D ESCARGA MECANICA (OBS.:3%-DESGASTE DE FERRAMENTAS E EPI).</t>
  </si>
  <si>
    <t>03296</t>
  </si>
  <si>
    <t>55.100.0052-1 EQUIPAMENTO ROTATIVO DE DESOBSTRUCAO DEGALERIAS, TIPO BUCKET MACHINE, CONSID. APENAS A MANUTENCAO E MAT. DE OPER. (CP)</t>
  </si>
  <si>
    <t>01801</t>
  </si>
  <si>
    <t>05.003.0015-1 TRANSPORTE MAT. DE POCOS VISITA ATE 10KM</t>
  </si>
  <si>
    <t>3.8</t>
  </si>
  <si>
    <t>1.13</t>
  </si>
  <si>
    <t>So74221/001</t>
  </si>
  <si>
    <t>SINALIZACAO DE TRANSITO - NOTURNA</t>
  </si>
  <si>
    <t>So12294</t>
  </si>
  <si>
    <t>SOQUETE DE PORCELANA BASE E27, PARA USO AO TEMPO, PARA LAMPADAS</t>
  </si>
  <si>
    <t>So04815</t>
  </si>
  <si>
    <t>BALDE VERMELHO PARA SINALIZACAO DE VIAS</t>
  </si>
  <si>
    <t>So03753</t>
  </si>
  <si>
    <t>LAMPADA FLUORESCENTE TUBULAR T10, DE 20 OU 40 W, BIVOLT</t>
  </si>
  <si>
    <t>So00939</t>
  </si>
  <si>
    <t>FIO DE COBRE, SOLIDO, CLASSE 1, ISOLACAO EM PVC/A, ANTICHAMA BWF-B, 450/750V, SECAO NOMINAL 2,5 MM2</t>
  </si>
  <si>
    <t>So000088264</t>
  </si>
  <si>
    <t>ELETRICISTA COM ENCARGOS COMPLEMENTARES</t>
  </si>
  <si>
    <t>So02705</t>
  </si>
  <si>
    <t>ENERGIA ELETRICA ATE 2000 KWH INDUSTRIAL, SEM DEMANDA</t>
  </si>
  <si>
    <t>KW/H</t>
  </si>
  <si>
    <t>RETIRADA DE ENTULHO DE OBRA COM CACAMBA DE ACO TIPO CONTAINER COM 5M3 DE CAPACIDADE,INCLUSIVE CARREGAMENTO,TRANSPORTE E DESCARREGAMENTO.CUSTO POR UNIDADE DE CACAMBA E INCLUI A TAXA PARA DESCARGA EM LOCAIS AUTORIZADOS.</t>
  </si>
  <si>
    <t>1.14</t>
  </si>
  <si>
    <t>So000088253</t>
  </si>
  <si>
    <t>AUXILIAR DE TOPÓGRAFO COM ENCARGOS COMPLEMENTARES</t>
  </si>
  <si>
    <t>So000085323</t>
  </si>
  <si>
    <t>LOCACAO E NIVELAMENTO DE EMISSARIO/REDE COLETORA COM AUXILIO DE EQUIPAMENTO TOPOGRAFICO</t>
  </si>
  <si>
    <t>So000090781</t>
  </si>
  <si>
    <t>TOPOGRAFO COM ENCARGOS COMPLEMENTARES</t>
  </si>
  <si>
    <t>So07252</t>
  </si>
  <si>
    <t>LOCACAO DE NIVEL OPTICO, COM PRECISAO DE 0,7 MM, AUMENTO DE 32X</t>
  </si>
  <si>
    <t>So07247</t>
  </si>
  <si>
    <t>LOCACAO DE TEODOLITO ELETRONICO, PRECISAO ANGULAR DE 5 A 7 SEGUNDOS, INCLUINDO TRIPE</t>
  </si>
  <si>
    <t>m</t>
  </si>
  <si>
    <t>8.0</t>
  </si>
  <si>
    <t>SERVIÇOS COMPLEMENTARES</t>
  </si>
  <si>
    <t>8.1</t>
  </si>
  <si>
    <t>8.2</t>
  </si>
  <si>
    <t>SUB-TOTAL 8.0=</t>
  </si>
  <si>
    <t>10982</t>
  </si>
  <si>
    <t>MAO-DE-OBRA DE DESENHISTA CADISTA SENIOR-PROJETO E CONSULTORIA, INCLUSIVE ENCARGOS SOCIAIS</t>
  </si>
  <si>
    <t>10965</t>
  </si>
  <si>
    <t>MAO-DE-OBRA DE ARQUITETO OU ENGENHEIRO SENIOR DE CONSULTORIA, INCLUSIVE ENCARGOSSOCIAIS</t>
  </si>
  <si>
    <t>HA</t>
  </si>
  <si>
    <t>01.050.0448-0</t>
  </si>
  <si>
    <t>PROJETO BASICO DE INSTALACAO DE ESGOTO SANITARIO E AGUAS PLUVIAIS PARA URBANIZACAO ACIMA DE 15000M2,APRESENTADO EM AUTOC AD,INCLUSIVE AS LEGALIZACOES PERTINENTES (OBS.:9%-DESPESAS DIVERSAS).</t>
  </si>
  <si>
    <t>09.005.0025-0</t>
  </si>
  <si>
    <t>VARREDURA EM SUPERFICIES CIMENTADAS OU ASFALTADAS(104 VEZES POR ANO) (OBS.:3%-DESGASTE DE FERRAMENTAS E EPI).</t>
  </si>
  <si>
    <t>01901</t>
  </si>
  <si>
    <t>MAO-DE-OBRA DE SERVENTE PARA SERVICOS DECONSERVACAO, INCLUSIVE ENCARGOS SOCIAIS</t>
  </si>
  <si>
    <t>LIMPEZA FINAL DE OBRA</t>
  </si>
  <si>
    <t>M²</t>
  </si>
  <si>
    <t>09.005.0025-5</t>
  </si>
  <si>
    <t>(11)4036-7986</t>
  </si>
  <si>
    <t>ORÇAMENTO Nº 022-18</t>
  </si>
  <si>
    <t>m2</t>
  </si>
  <si>
    <t>un</t>
  </si>
  <si>
    <t>m3</t>
  </si>
  <si>
    <t>t</t>
  </si>
  <si>
    <t>txkm</t>
  </si>
  <si>
    <t xml:space="preserve">un </t>
  </si>
  <si>
    <t>t x km</t>
  </si>
  <si>
    <t>m3xkm</t>
  </si>
  <si>
    <t>Compactacao de aterro,em camadas de 20cm,utilizando compactador pneumatico(sapo),inclusive compressor</t>
  </si>
  <si>
    <t>Execução de sarjeta de concreto usinado, moldada  in loco  em trecho reto, 30 cm base x 10 cm altura. Af_06/2016</t>
  </si>
  <si>
    <t>Transporte com caminhão basculante de 18 m3, em via urbana pavimentada, dmt até 30 km (unidade: txkm). Af_12/2016. Considerado dmt= 54,45km - média usinas jro e vale sul ( material para a execução da pavimentação)</t>
  </si>
  <si>
    <t>Fornecimento de saibro para aterros,compreendendo:escavacao,carga,transporte a 30km em caminhao basculante e descarga .</t>
  </si>
  <si>
    <t>Fornecimento de agregado siderurgico inerte para aterros,compreendendo:escavacao,carga,transporte a 30km em caminhao basculante e descarga .</t>
  </si>
  <si>
    <t>Caixa coletora em alvenaria com blocos de concreto, dimensões internas  = 2x2 m, profundidade = 2,3m, excluindo tampão. Af_05/2018</t>
  </si>
  <si>
    <t>Caixa coletora em alvenaria com blocos de concreto, dimensões internas  = 2x2 m, profundidade = 1,6m, excluindo tampão. Af_05/2018</t>
  </si>
  <si>
    <t>Caixa coletora em alvenaria com blocos de concreto, dimensões internas  = 2x2 m, profundidade = 2,4m, excluindo tampão. Af_05/2018</t>
  </si>
  <si>
    <t>Caixa coletora em alvenaria com blocos de concreto, dimensões internas  = 2x2 m, profundidade = 2,8m, excluindo tampão. Af_05/2018</t>
  </si>
  <si>
    <t>Caixa coletora em alvenaria com blocos de concreto, dimensões internas  = 2x2 m, profundidade = 3,1m, excluindo tampão. Af_05/2018</t>
  </si>
  <si>
    <t>Poço de visita em alvenaria com blocos de concreto, dimensões internas  = 2x2 m, profundidade = 2,7m, excluindo tampão. Af_05/2018</t>
  </si>
  <si>
    <t>Construção de ala em concreto armado dosado racionalmente para uma resistencia caracteristica a compressao de 25mpa,inclusive materiais,transporte,preparo com betoneira,lancamento e adensamento,14,00m2 de area moldada,formas e escoramento conforme itens 11.004.0022e 11.004.0035,60kg de aco ca-50,inclusive mao-de-obra para corte,dobragem,montagem e colocacao nas formas. Ø1200mm</t>
  </si>
  <si>
    <t>Construção de ala em concreto armado dosado racionalmente para uma resistencia caracteristica a compressao de 25mpa,inclusive materiais,transporte,preparo com betoneira,lancamento e adensamento,14,00m2 de area moldada,formas e escoramento conforme itens 11.004.0022e 11.004.0035,60kg de aco ca-50,inclusive mao-de-obra para corte,dobragem,montagem e colocacao nas formas. Ø600mm</t>
  </si>
  <si>
    <t>Construção de ala em concreto armado dosado racionalmente para uma resistencia caracteristica a compressao de 25mpa,inclusive materiais,transporte,preparo com betoneira,lancamento e adensamento,14,00m2 de area moldada,formas e escoramento conforme itens 11.004.0022e 11.004.0035,60kg de aco ca-50,inclusive mao-de-obra para corte,dobragem,montagem e colocacao nas formas. Ø1000mm</t>
  </si>
  <si>
    <t xml:space="preserve">Carga de material com pa-carregadeira de 1,30m3,exclusive despesas com o caminhao,compreendendo tempo com espera e opera cao para cargas de 50t por dia de 8h </t>
  </si>
  <si>
    <t>Transporte com caminhão basculante de 10 m3, em via urbana pavimentada, dmt até 30 km (unidade: m3xkm). Af_12/2016 - dmt=15km - ctr</t>
  </si>
  <si>
    <t>Retirada de entulho de obra com cacamba de aco tipo container com 5m3 de capacidade,inclusive carregamento,transporte e descarregamento.custo por unidade de cacamba e inclui a taxa para descarga em locais autorizados.</t>
  </si>
  <si>
    <t>Limpeza final de obra</t>
  </si>
  <si>
    <t>Escoramento de vala/cava ate 4,00m de profundidade,com pranchoes em pecas de madeira de 3¦ de 3"x9",cravacao e retirada dos pranchoes com equipamentos.a medicao do servico e feitapela area efetivamente em contato com os pranchoes.considera ndo a madeira reutilizada 8 vezes.fornecimento e colocacao</t>
  </si>
  <si>
    <t>Data-Base:   EMOP -  RJ / SINAPI - Onerado - Base junho-2018</t>
  </si>
  <si>
    <t>TROCA DE BASE</t>
  </si>
  <si>
    <t>PAVIMENTAÇÃO</t>
  </si>
  <si>
    <t>DRENAGEM</t>
  </si>
  <si>
    <t>Revestimento de concreto betuminoso usinado a quente,com 8cm de espessura,executado em 2 camadas,sendo a inferior de lig acao("binder"),com 4cm de espessura e a superior de rolamento,de acordo com as "instrucoes para execucao",do der-rj,excl usive transporte da usina para a pista, inclusive pintura de ligação entre as camadas.</t>
  </si>
  <si>
    <t>Caixa de passagem em alvenaria de blocos de concreto(20x20x40cm),paredes 0,20m de esp.c/0,60x0,60x1,40m,p/coletor aguas plu viais 0,40 a 0,70m de diam.utilizando arg.cim.areia,traco 1:4,sendo paredes chapiscadas e revestidas internamente c/arg. ,enchimento blocos e base em concreto simples,tampa de concr.armado,degraus ferro fundido,incl.forn.todos os materiais</t>
  </si>
  <si>
    <t>Poco de visita de concreto armado com medidas internas do poco e profundidade de 1,10x1,10x1,90m,e diametro da galeria d e ate 0,60m,tendo o concreto das paredes,fundo e tampa 400kge o da base,calha e banqueta 300kg de cimento por m3,sendo as paredes,calha e a banqueta revestidas com argamassa,exclusive tampao de ferro fundido</t>
  </si>
  <si>
    <t>06.012.0003-0 +           MERCADO</t>
  </si>
  <si>
    <t>GONZO 1"</t>
  </si>
  <si>
    <t xml:space="preserve">Fornecimento e colocação de gonzo de 1", para construção de grade do mata burro. </t>
  </si>
  <si>
    <t>B</t>
  </si>
  <si>
    <t>C</t>
  </si>
  <si>
    <t>06.012.0003-0 +      11.016.0020-0 + MERCADO</t>
  </si>
  <si>
    <t>Carga e descarga manual de material que exija o concurso de mais de um servente para cada peca:vergalhoes,vigas de madei ra,caixas e meios-fios,em caminhao de carroceria fixa a oleodiesel,com capacidade util de 7,5t,inclusive o tempo de car ga,descarga e manobra .</t>
  </si>
  <si>
    <t>Transporte de carga de qualquer natureza,exclusive as despesas de carga e descarga,tanto de espera do caminhao como do s ervente ou equipamento auxiliar,a velocidade media de 30km/h,em caminhao de carroceria fixa a oleo diesel,com capacidade util de 7,5t. DMT=6,2KM (SUSESP)</t>
  </si>
  <si>
    <t>Descarga de materiais e residuos originarios da construcao civil(rcc),classe c (nao reutilizaveis),em locais de disposic ao final autorizados e/ou licenciados a operar pelos orgaosde controle ambiente. CTR BARRA MANSA</t>
  </si>
  <si>
    <t>Projeto basico de instalacao de esgoto sanitario e aguas pluviais para urbanizacao acima de 15000m2,apresentado em autoc ad,inclusive as legalizacoes pertinentes.</t>
  </si>
  <si>
    <t>LEVANTAMENTO: Arqtº Abimar Cavalcante da Cunha</t>
  </si>
  <si>
    <t>CALÇADAS</t>
  </si>
  <si>
    <t>SINALIZAÇÃO VIÁRIA</t>
  </si>
  <si>
    <t xml:space="preserve">TRANSPORTE E BOTA-FORA </t>
  </si>
  <si>
    <t>PLANILHA GERAL - TRECHOS CONFORME FOLHAS 1/6 a 5/6 - QUANTIDADES ESTÃO CONFORME MEMÓRIA DO PROJETISTA.</t>
  </si>
  <si>
    <t>UNID.</t>
  </si>
  <si>
    <t>Compactacao de aterro,em camadas de 20cm,utilizando compactador pneumatico(sapo),inclusive compressor (volume de material para recompor)</t>
  </si>
  <si>
    <t>Revestimento de piso com ceramica tatil direcional,(ladrilho hidraulico),para pessoas com necessidades especificas,assen tes sobre superficie em osso,conforme item 13.330.0010.</t>
  </si>
  <si>
    <t xml:space="preserve">Revestimento de piso com ceramica tatil alerta,(ladrilho hidraulico) para pessoas com necessidades especificas,assentes sobre superficie em osso,conforme item 13.330.0010 </t>
  </si>
  <si>
    <t>APROVAÇÃO: Eng. Eros dos Santos</t>
  </si>
  <si>
    <t>Orçamentista: Eng. Alfredo Antonio Nicolau M. Cunha</t>
  </si>
  <si>
    <t xml:space="preserve">CRONOGRAMA  FÍSICO-FINANCEIRO </t>
  </si>
  <si>
    <t>DESCRIÇÃO</t>
  </si>
  <si>
    <t>PERÍODO</t>
  </si>
  <si>
    <t>30 DIAS</t>
  </si>
  <si>
    <t>60 DIAS</t>
  </si>
  <si>
    <t>90 DIAS</t>
  </si>
  <si>
    <t>TOTAL DOS</t>
  </si>
  <si>
    <t>FÍSICO</t>
  </si>
  <si>
    <t>FINANCEIRO</t>
  </si>
  <si>
    <t>SERVIÇOS</t>
  </si>
  <si>
    <t>TOTAL DA OBRA POR MEDIÇÃO</t>
  </si>
  <si>
    <t>TOTAL ACUMULADO DA OBRA</t>
  </si>
  <si>
    <t>Desembolso parcial por medição %</t>
  </si>
  <si>
    <t>Desembolso máximo acumulado %</t>
  </si>
  <si>
    <t>120 DIAS</t>
  </si>
  <si>
    <t>150 DIAS</t>
  </si>
  <si>
    <t>180 DIAS</t>
  </si>
  <si>
    <t>210 DIAS</t>
  </si>
  <si>
    <t>240 DIAS</t>
  </si>
  <si>
    <t>270 DIAS</t>
  </si>
  <si>
    <t>300 DIAS</t>
  </si>
  <si>
    <t>330 DIAS</t>
  </si>
  <si>
    <t>360 DIAS</t>
  </si>
  <si>
    <t>UNIT COM BDI</t>
  </si>
  <si>
    <t>TOTAL COM BDI</t>
  </si>
  <si>
    <t>Data-Base:   EMOP -  RJ / SINAPI e SCO-RJ- Onerado - Base JUNHO-18</t>
  </si>
  <si>
    <r>
      <t>Secretaria Municipal de Planejamento Urbano</t>
    </r>
    <r>
      <rPr>
        <sz val="26"/>
        <color indexed="8"/>
        <rFont val="Arial"/>
        <family val="2"/>
      </rPr>
      <t xml:space="preserve"> </t>
    </r>
  </si>
  <si>
    <t>So74209/1</t>
  </si>
  <si>
    <t>PLACA DE OBRA EM CHAPA DE ACO GALVANIZADO</t>
  </si>
  <si>
    <t>So05075</t>
  </si>
  <si>
    <t>PREGO DE ACO POLIDO COM CABECA 18 X 30 (2 3/4 X 10)</t>
  </si>
  <si>
    <t>So04813</t>
  </si>
  <si>
    <t>PLACA DE OBRA (PARA CONSTRUCAO CIVIL) EM CHAPA GALVANIZADA *N. 22*, DE *2,0 X 1,125* M</t>
  </si>
  <si>
    <t>So04491</t>
  </si>
  <si>
    <t>PECA DE MADEIRA NATIVA / REGIONAL 7,5 X 7,5CM (3X3) NAO APARELHADA (P/FORMA)</t>
  </si>
  <si>
    <t>So04417</t>
  </si>
  <si>
    <t>SARRAFO DE MADEIRA NAO APARELHADA *2,5 X 7* CM, MACARANDUBA, ANGELIM OU EQUIVALENTE DA REGIAO</t>
  </si>
  <si>
    <t>So000094962</t>
  </si>
  <si>
    <t>So000094962 CONCRETO MAGRO PARA LASTRO, TRAÇO 1:4,5:4,5 (CIMENTO/ AREIA MÉDIA/ BRITA 1)  - PREPARO MECÂNICO COM BETONEIRA 400 L. AF_07/2016</t>
  </si>
  <si>
    <t>ADOTADO PREÇO EMOP 02.020.0001-0</t>
  </si>
  <si>
    <t>So73847/1</t>
  </si>
  <si>
    <t>ALUGUEL CONTAINER/ESCRIT INCL INST ELET LARG=2,20 COMP=6,20M          ALT=2,50M CHAPA ACO C/NERV TRAPEZ FORRO C/ISOL TERMO/ACUSTICO         CHASSIS REFORC PISO COMPENS NAVAL EXC TRANSP/CARGA/DESCARGA</t>
  </si>
  <si>
    <t>MES</t>
  </si>
  <si>
    <t>So10776</t>
  </si>
  <si>
    <t>LOCACAO DE CONTAINER 2,30  X  6,00 M, ALT. 2,50 M, PARA ESCRITORIO, SEM DIVISORIAS INTERNAS E SEM SANITARIO</t>
  </si>
  <si>
    <t>ADOTADO PREÇO EMOP 02.006.0010-0</t>
  </si>
  <si>
    <t>BP 15.05.0060 (A)</t>
  </si>
  <si>
    <t xml:space="preserve">Corte mecanico com fresadora a frio, em concreto asfaltico, em zona urbana com interferencias, inclusive coleta do material em caminhao basculante, exclusive transporte do material. </t>
  </si>
  <si>
    <t>m³</t>
  </si>
  <si>
    <t>Item Elementar</t>
  </si>
  <si>
    <t>Item Reutilizado</t>
  </si>
  <si>
    <t>Descrição</t>
  </si>
  <si>
    <t xml:space="preserve">Und. </t>
  </si>
  <si>
    <t>Quantidade</t>
  </si>
  <si>
    <t>Custo Unitário R$</t>
  </si>
  <si>
    <t>Custo Parcial R$</t>
  </si>
  <si>
    <t>MOD002450</t>
  </si>
  <si>
    <t>Servente</t>
  </si>
  <si>
    <t>h</t>
  </si>
  <si>
    <t>EVE000050</t>
  </si>
  <si>
    <t>3% incidente sobre mao de obra com Encargos Sociais para cobrir despesas de EPI e ferramentas</t>
  </si>
  <si>
    <t>%</t>
  </si>
  <si>
    <t>REQ001100</t>
  </si>
  <si>
    <t>EQ 05.05.0150(A)</t>
  </si>
  <si>
    <t>Caminhao basculante, com capacidade de 8m3 a 10m3, com motorista, material de operacao e material de</t>
  </si>
  <si>
    <t>REQ001200</t>
  </si>
  <si>
    <t>EQ 05.05.0156(/)</t>
  </si>
  <si>
    <t>Caminhao basculante, com capacidade de 8m3 a 10m3, com motorista, com as seguintes especificacoes mi</t>
  </si>
  <si>
    <t>REQ001850</t>
  </si>
  <si>
    <t>EQ 05.05.0600(B)</t>
  </si>
  <si>
    <t>Caminhao tanque, com capacidade de 6000 litros, com motorista, material de operacao e material de ma</t>
  </si>
  <si>
    <t>REQ001950</t>
  </si>
  <si>
    <t>EQ 05.05.0606(A)</t>
  </si>
  <si>
    <t>Caminhao tanque, com capacidade de 6000 litros, com motorista, com as seguintes especificacoes minim</t>
  </si>
  <si>
    <t>REQ004400</t>
  </si>
  <si>
    <t>EQ 15.05.0300(B)</t>
  </si>
  <si>
    <t>Fresadora a frio, com operador, material de operacao e material de manutencao, com as seguintes espe</t>
  </si>
  <si>
    <t>REQ004450</t>
  </si>
  <si>
    <t>EQ 15.05.0306(B)</t>
  </si>
  <si>
    <t>Fresadora a frio, com operador, com as seguintes especificacoes minimas: motor de 211CV, largura de</t>
  </si>
  <si>
    <t>TOTAL=</t>
  </si>
  <si>
    <t>ADOTADO PREÇO EMOP 05.002.0018-0 COM 1,6 X O VALOR REFERENCIA</t>
  </si>
  <si>
    <r>
      <t xml:space="preserve">Corte mecanico com fresadora a frio, em concreto asfaltico, em zona urbana com interferencias, inclusive coleta do material em caminhao basculante, exclusive transporte do material.  </t>
    </r>
    <r>
      <rPr>
        <b/>
        <u val="single"/>
        <sz val="12"/>
        <rFont val="Arial"/>
        <family val="2"/>
      </rPr>
      <t>ESPESSURA DE ATE 8CM</t>
    </r>
    <r>
      <rPr>
        <sz val="12"/>
        <rFont val="Arial"/>
        <family val="2"/>
      </rPr>
      <t>,</t>
    </r>
  </si>
  <si>
    <t>So000096002</t>
  </si>
  <si>
    <t>FRESAGEM DE PAVIMENTO ASFÁLTICO (PROFUNDIDADE 5,0 CM), EM LOCAIS COM NIVEL ALTO DE INTERFERÊNCIA. AF_03/2017</t>
  </si>
  <si>
    <t>So14583</t>
  </si>
  <si>
    <t>TARIFA "A" ENTRE  0 E 20M3 FORNECIMENTO D'AGUA</t>
  </si>
  <si>
    <t>So25969</t>
  </si>
  <si>
    <t>PORTA DENTE PARA FRESADORA</t>
  </si>
  <si>
    <t>So25968</t>
  </si>
  <si>
    <t>DENTE PARA FRESADORA</t>
  </si>
  <si>
    <t>So25967</t>
  </si>
  <si>
    <t>APOIO DO PORTA DENTE PARA FRESADORA DE ASFALTO</t>
  </si>
  <si>
    <t>So000096158</t>
  </si>
  <si>
    <t>So000096158 MINICARREGADEIRA SOBRE RODAS POTENCIA 47HP CAPACIDADE OPERACAO 646 KG, COM VASSOURA MECÂNICA ACOPLADA - CHP DIURNO. AF_03/2017</t>
  </si>
  <si>
    <t>So000096156</t>
  </si>
  <si>
    <t>So000096156 MINICARREGADEIRA SOBRE RODAS POTENCIA 47HP CAPACIDADE OPERACAO 646 KG, COM VASSOURA MECÂNICA ACOPLADA - CHI DIURNO. AF_03/2017</t>
  </si>
  <si>
    <t>So000089235</t>
  </si>
  <si>
    <t>So000089235 FRESADORA DE ASFALTO A FRIO SOBRE RODAS, LARGURA FRESAGEM DE 1,0 M, POTÊNCIA 208 HP - CHI DIURNO. AF_11/2014</t>
  </si>
  <si>
    <t>So000089234</t>
  </si>
  <si>
    <t>So000089234 FRESADORA DE ASFALTO A FRIO SOBRE RODAS, LARGURA FRESAGEM DE 1,0 M, POTÊNCIA 208 HP - CHP DIURNO. AF_11/2014</t>
  </si>
  <si>
    <t>So000006260</t>
  </si>
  <si>
    <t>So000006260 CAMINHÃO PIPA 6.000 L, PESO BRUTO TOTAL 13.000 KG, DISTÂNCIA ENTRE EIXOS 4,80 M, POTÊNCIA 189 CV INCLUSIVE TANQUE DE AÇO PARA TRANSPORTE DE ÁGUA, CAPACIDADE 6 M3 - CHI DIURNO. AF_06/2014</t>
  </si>
  <si>
    <t>So000006259</t>
  </si>
  <si>
    <t>So000006259 CAMINHÃO PIPA 6.000 L, PESO BRUTO TOTAL 13.000 KG, DISTÂNCIA ENTRE EIXOS 4,80 M, POTÊNCIA 189 CV INCLUSIVE TANQUE DE AÇO PARA TRANSPORTE DE ÁGUA, CAPACIDADE 6 M3 - CHP DIURNO. AF_06/2014</t>
  </si>
  <si>
    <t>So000005961</t>
  </si>
  <si>
    <t>So000005961 CAMINHÃO BASCULANTE 6 M3, PESO BRUTO TOTAL 16.000 KG, CARGA ÚTIL MÁXIMA 13.071 KG, DISTÂNCIA ENTRE EIXOS 4,80 M, POTÊNCIA 230 CV INCLUSIVE CAÇAMBA METÁLICA - CHI DIURNO. AF_06/2014</t>
  </si>
  <si>
    <t>So000005811</t>
  </si>
  <si>
    <t>So000005811 CAMINHÃO BASCULANTE 6 M3, PESO BRUTO TOTAL 16.000 KG, CARGA ÚTIL MÁXIMA 13.071 KG, DISTÂNCIA ENTRE EIXOS 4,80 M, POTÊNCIA 230 CV INCLUSIVE CAÇAMBA METÁLICA - CHP DIURNO. AF_06/2014</t>
  </si>
  <si>
    <t>Ok</t>
  </si>
  <si>
    <t>ADOTADO PREÇO EMOP 05.022.0018-0</t>
  </si>
  <si>
    <t>Corte mecanico com fresadora a frio, em concreto asfaltico, em zona urbana com interferencias, inclusive coleta do material em caminhao basculante, exclusive transporte do material.  ESPESSURA DE ATE 8CM,</t>
  </si>
  <si>
    <t>So000090082</t>
  </si>
  <si>
    <t>ESCAVAÇÃO MECANIZADA DE VALA COM PROF. ATÉ 1,5 M (MÉDIA ENTRE MONTANTE E JUSANTE/UMA COMPOSIÇÃO POR TRECHO), COM ESCAVADEIRA HIDRÁULICA (0,8 M3/111 HP), LARG. DE 1,5 M A 2,5 M, EM SOLO DE 1A CATEGORIA, EM LOCAIS COM ALTO NÍVEL DE INTERFERÊNCIA. AF_01/2015</t>
  </si>
  <si>
    <t>So000005632</t>
  </si>
  <si>
    <t>So000005632 ESCAVADEIRA HIDRÁULICA SOBRE ESTEIRAS, CAÇAMBA 0,80 M3, PESO OPERACIONAL 17 T, POTENCIA BRUTA 111 HP - CHI DIURNO. AF_06/2014</t>
  </si>
  <si>
    <t>So000005631</t>
  </si>
  <si>
    <t>So000005631 ESCAVADEIRA HIDRÁULICA SOBRE ESTEIRAS, CAÇAMBA 0,80 M3, PESO OPERACIONAL 17 T, POTENCIA BRUTA 111 HP - CHP DIURNO. AF_06/2014</t>
  </si>
  <si>
    <t>So000090085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</si>
  <si>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</si>
  <si>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So000095566</t>
  </si>
  <si>
    <t>TUBO DE CONCRETO PARA REDES COLETORAS DE ÁGUAS PLUVIAIS, DIÂMETRO DE 300MM, JUNTA RÍGIDA, INSTALADO EM LOCAL COM ALTO NÍVEL DE INTERFERÊNCIAS - FORNECIMENTO E ASSENTAMENTO. AF_12/2015</t>
  </si>
  <si>
    <t>So40334</t>
  </si>
  <si>
    <t>TUBO CONCRETO ARMADO, CLASSE PA-1, PB, DN 300 MM, PARA AGUAS PLUVIAIS (NBR 8890)</t>
  </si>
  <si>
    <t>So000088277</t>
  </si>
  <si>
    <t>MONTADOR (TUBO AÇO/EQUIPAMENTOS) COM ENCARGOS COMPLEMENTARES</t>
  </si>
  <si>
    <t>So000092219</t>
  </si>
  <si>
    <t>TUBO DE CONCRETO PARA REDES COLETORAS DE ÁGUAS PLUVIAIS, DIÂMETRO DE 400 MM, JUNTA RÍGIDA, INSTALADO EM LOCAL COM ALTO NÍVEL DE INTERFERÊNCIAS - FORNECIMENTO E ASSENTAMENTO. AF_12/2015</t>
  </si>
  <si>
    <t>So07745</t>
  </si>
  <si>
    <t>TUBO CONCRETO ARMADO, CLASSE PA-1, PB, DN 400 MM, PARA AGUAS PLUVIAIS (NBR 8890)</t>
  </si>
  <si>
    <t>So000088246</t>
  </si>
  <si>
    <t>ASSENTADOR DE TUBOS COM ENCARGOS COMPLEMENTARES</t>
  </si>
  <si>
    <t>So000092221</t>
  </si>
  <si>
    <t>So000092226</t>
  </si>
  <si>
    <t>So000092829</t>
  </si>
  <si>
    <t>TUBO DE CONCRETO PARA REDES COLETORAS DE ÁGUAS PLUVIAIS, DIÂMETRO DE 600 MM, JUNTA RÍGIDA, INSTALADO EM LOCAL COM ALTO NÍVEL DE INTERFERÊNCIAS - FORNECIMENTO E ASSENTAMENTO. AF_12/2015</t>
  </si>
  <si>
    <t>So07725</t>
  </si>
  <si>
    <t>TUBO CONCRETO ARMADO, CLASSE PA-1, PB, DN 600 MM, PARA AGUAS PLUVIAIS (NBR 8890)</t>
  </si>
  <si>
    <t>TUBO DE CONCRETO PARA REDES COLETORAS DE ÁGUAS PLUVIAIS, DIÂMETRO DE 1000 MM, JUNTA RÍGIDA, INSTALADO EM LOCAL COM ALTO NÍVEL DE INTERFERÊNCIAS - FORNECIMENTO E ASSENTAMENTO. AF_12/2015</t>
  </si>
  <si>
    <t>So07753</t>
  </si>
  <si>
    <t>TUBO CONCRETO ARMADO, CLASSE PA-1, PB, DN 1000 MM, PARA AGUAS PLUVIAIS (NBR 8890)</t>
  </si>
  <si>
    <t>TUBO DE CONCRETO PARA REDES COLETORAS DE ÁGUAS PLUVIAIS, DIÂMETRO DE 1200 MM, JUNTA RÍGIDA, INSTALADO EM LOCAL COM ALTO NÍVEL DE INTERFERÊNCIAS - FORNECIMENTO E ASSENTAMENTO. AF_12/2015</t>
  </si>
  <si>
    <t>So07757</t>
  </si>
  <si>
    <t>TUBO CONCRETO ARMADO, CLASSE PA-1, PB, DN 1200 MM, PARA AGUAS PLUVIAIS (NBR 8890)</t>
  </si>
  <si>
    <t>So000088040</t>
  </si>
  <si>
    <t>TRANSPORTE HORIZONTAL, MASSA/GRANEL, MINICARREGADEIRA, 30M. AF_06/2014</t>
  </si>
  <si>
    <t>So000090693</t>
  </si>
  <si>
    <t>So000090693 MINICARREGADEIRA SOBRE RODAS, POTÊNCIA LÍQUIDA DE 47 HP, CAPACIDADE NOMINAL DE OPERAÇÃO DE 646 KG - CHI DIURNO. AF_06/2015</t>
  </si>
  <si>
    <t>So000090692</t>
  </si>
  <si>
    <t>So000090692 MINICARREGADEIRA SOBRE RODAS, POTÊNCIA LÍQUIDA DE 47 HP, CAPACIDADE NOMINAL DE OPERAÇÃO DE 646 KG - CHP DIURNO. AF_06/2015</t>
  </si>
  <si>
    <t>So000094995</t>
  </si>
  <si>
    <t>EXECUÇÃO DE PASSEIO (CALÇADA) OU PISO DE CONCRETO COM CONCRETO MOLDADO IN LOCO, USINADO, ACABAMENTO CONVENCIONAL, ESPESSURA 8 CM, ARMADO. AF_07/2016</t>
  </si>
  <si>
    <t>Execução de passeio (calçada) ou piso de concreto com concreto moldado in loco, usinado , acabamento convencional, espessura 8 cm, armado. Af_07/2016</t>
  </si>
  <si>
    <t>DATA:29/10/2018 - revisão 10-12-2018</t>
  </si>
</sst>
</file>

<file path=xl/styles.xml><?xml version="1.0" encoding="utf-8"?>
<styleSheet xmlns="http://schemas.openxmlformats.org/spreadsheetml/2006/main">
  <numFmts count="3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0"/>
    <numFmt numFmtId="171" formatCode="#,##0.00000"/>
    <numFmt numFmtId="172" formatCode="0.0%"/>
    <numFmt numFmtId="173" formatCode="_([$€]* #,##0.00_);_([$€]* \(#,##0.00\);_([$€]* &quot;-&quot;??_);_(@_)"/>
    <numFmt numFmtId="174" formatCode="_(* #,##0.00_);_(* \(#,##0.00\);_(* &quot;-&quot;??_);_(@_)"/>
    <numFmt numFmtId="175" formatCode="&quot;Sim&quot;;&quot;Sim&quot;;&quot;Não&quot;"/>
    <numFmt numFmtId="176" formatCode="&quot;Verdadeiro&quot;;&quot;Verdadeiro&quot;;&quot;Falso&quot;"/>
    <numFmt numFmtId="177" formatCode="&quot;Ativado&quot;;&quot;Ativado&quot;;&quot;Desativado&quot;"/>
    <numFmt numFmtId="178" formatCode="[$€-2]\ #,##0.00_);[Red]\([$€-2]\ #,##0.00\)"/>
    <numFmt numFmtId="179" formatCode="#,##0.00_ ;\-#,##0.00\ "/>
    <numFmt numFmtId="180" formatCode="#,##0.000"/>
    <numFmt numFmtId="181" formatCode="0.000"/>
    <numFmt numFmtId="182" formatCode="0.0"/>
    <numFmt numFmtId="183" formatCode="0.0000"/>
    <numFmt numFmtId="184" formatCode="0.00000"/>
    <numFmt numFmtId="185" formatCode="00#"/>
    <numFmt numFmtId="186" formatCode="_ * #,##0.00_ ;_ * \-#,##0.00_ ;_ * \-??_ ;_ @_ "/>
    <numFmt numFmtId="187" formatCode="_-* #,##0.00_-;\-* #,##0.00_-;_-* \-??_-;_-@_-"/>
    <numFmt numFmtId="188" formatCode="#,##0.0000_ ;\-#,##0.0000\ "/>
    <numFmt numFmtId="189" formatCode="_ * #,##0.00_ ;_ * \-#,##0.00_ ;_ * &quot;-&quot;??_ ;_ @_ "/>
    <numFmt numFmtId="190" formatCode="0.000%"/>
    <numFmt numFmtId="191" formatCode="0.0000%"/>
  </numFmts>
  <fonts count="96">
    <font>
      <sz val="11"/>
      <color theme="1"/>
      <name val="Calibri"/>
      <family val="2"/>
    </font>
    <font>
      <sz val="11"/>
      <color indexed="8"/>
      <name val="Calibri"/>
      <family val="2"/>
    </font>
    <font>
      <sz val="10"/>
      <name val="Arial"/>
      <family val="2"/>
    </font>
    <font>
      <sz val="12"/>
      <name val="Arial"/>
      <family val="2"/>
    </font>
    <font>
      <b/>
      <sz val="12"/>
      <color indexed="8"/>
      <name val="Arial"/>
      <family val="2"/>
    </font>
    <font>
      <b/>
      <sz val="12"/>
      <name val="Arial"/>
      <family val="2"/>
    </font>
    <font>
      <i/>
      <u val="single"/>
      <sz val="12"/>
      <name val="Arial"/>
      <family val="2"/>
    </font>
    <font>
      <i/>
      <sz val="12"/>
      <name val="Arial"/>
      <family val="2"/>
    </font>
    <font>
      <b/>
      <sz val="14"/>
      <name val="Arial"/>
      <family val="2"/>
    </font>
    <font>
      <b/>
      <i/>
      <sz val="14"/>
      <name val="Arial"/>
      <family val="2"/>
    </font>
    <font>
      <sz val="12"/>
      <color indexed="8"/>
      <name val="Arial"/>
      <family val="2"/>
    </font>
    <font>
      <b/>
      <u val="single"/>
      <sz val="12"/>
      <name val="Arial"/>
      <family val="2"/>
    </font>
    <font>
      <b/>
      <sz val="15"/>
      <color indexed="56"/>
      <name val="Calibri"/>
      <family val="2"/>
    </font>
    <font>
      <sz val="10"/>
      <name val="Times New Roman"/>
      <family val="1"/>
    </font>
    <font>
      <b/>
      <sz val="15"/>
      <color indexed="48"/>
      <name val="Calibri"/>
      <family val="2"/>
    </font>
    <font>
      <sz val="10"/>
      <name val="Switzerland"/>
      <family val="0"/>
    </font>
    <font>
      <sz val="20"/>
      <name val="Arial"/>
      <family val="2"/>
    </font>
    <font>
      <sz val="11"/>
      <name val="Switzerland"/>
      <family val="0"/>
    </font>
    <font>
      <sz val="18"/>
      <name val="Switzerland"/>
      <family val="0"/>
    </font>
    <font>
      <sz val="20"/>
      <name val="Switzerland"/>
      <family val="0"/>
    </font>
    <font>
      <b/>
      <sz val="24"/>
      <name val="Arial"/>
      <family val="2"/>
    </font>
    <font>
      <b/>
      <sz val="24"/>
      <color indexed="8"/>
      <name val="Arial"/>
      <family val="2"/>
    </font>
    <font>
      <sz val="24"/>
      <name val="Arial"/>
      <family val="2"/>
    </font>
    <font>
      <b/>
      <sz val="24"/>
      <color indexed="10"/>
      <name val="Arial"/>
      <family val="2"/>
    </font>
    <font>
      <sz val="24"/>
      <color indexed="10"/>
      <name val="Arial"/>
      <family val="2"/>
    </font>
    <font>
      <b/>
      <sz val="26"/>
      <color indexed="8"/>
      <name val="Arial"/>
      <family val="2"/>
    </font>
    <font>
      <sz val="26"/>
      <color indexed="8"/>
      <name val="Arial"/>
      <family val="2"/>
    </font>
    <font>
      <sz val="2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1"/>
      <name val="Calibri"/>
      <family val="2"/>
    </font>
    <font>
      <b/>
      <sz val="16"/>
      <color indexed="10"/>
      <name val="Calibri"/>
      <family val="2"/>
    </font>
    <font>
      <b/>
      <sz val="11"/>
      <name val="Calibri"/>
      <family val="2"/>
    </font>
    <font>
      <b/>
      <sz val="18"/>
      <color indexed="10"/>
      <name val="Calibri"/>
      <family val="2"/>
    </font>
    <font>
      <b/>
      <sz val="12"/>
      <color indexed="10"/>
      <name val="Arial"/>
      <family val="2"/>
    </font>
    <font>
      <b/>
      <sz val="11"/>
      <color indexed="10"/>
      <name val="Calibri"/>
      <family val="2"/>
    </font>
    <font>
      <b/>
      <sz val="20"/>
      <color indexed="10"/>
      <name val="Calibri"/>
      <family val="2"/>
    </font>
    <font>
      <b/>
      <sz val="20"/>
      <name val="Calibri"/>
      <family val="2"/>
    </font>
    <font>
      <b/>
      <sz val="14"/>
      <name val="Calibri"/>
      <family val="2"/>
    </font>
    <font>
      <sz val="12"/>
      <name val="Calibri"/>
      <family val="2"/>
    </font>
    <font>
      <sz val="12"/>
      <color indexed="10"/>
      <name val="Arial"/>
      <family val="2"/>
    </font>
    <font>
      <b/>
      <sz val="28"/>
      <color indexed="8"/>
      <name val="Calibri"/>
      <family val="2"/>
    </font>
    <font>
      <sz val="28"/>
      <color indexed="8"/>
      <name val="Calibri"/>
      <family val="2"/>
    </font>
    <font>
      <sz val="24"/>
      <color indexed="8"/>
      <name val="Arial"/>
      <family val="2"/>
    </font>
    <font>
      <b/>
      <sz val="16"/>
      <color indexed="8"/>
      <name val="Calibri"/>
      <family val="2"/>
    </font>
    <font>
      <b/>
      <sz val="16"/>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Arial"/>
      <family val="2"/>
    </font>
    <font>
      <sz val="12"/>
      <color theme="1"/>
      <name val="Arial"/>
      <family val="2"/>
    </font>
    <font>
      <b/>
      <sz val="16"/>
      <color rgb="FFFF0000"/>
      <name val="Calibri"/>
      <family val="2"/>
    </font>
    <font>
      <b/>
      <sz val="18"/>
      <color rgb="FFFF0000"/>
      <name val="Calibri"/>
      <family val="2"/>
    </font>
    <font>
      <b/>
      <sz val="12"/>
      <color rgb="FFFF0000"/>
      <name val="Arial"/>
      <family val="2"/>
    </font>
    <font>
      <b/>
      <sz val="11"/>
      <color rgb="FFFF0000"/>
      <name val="Calibri"/>
      <family val="2"/>
    </font>
    <font>
      <b/>
      <sz val="20"/>
      <color rgb="FFFF0000"/>
      <name val="Calibri"/>
      <family val="2"/>
    </font>
    <font>
      <sz val="12"/>
      <color rgb="FFFF0000"/>
      <name val="Arial"/>
      <family val="2"/>
    </font>
    <font>
      <b/>
      <sz val="28"/>
      <color theme="1"/>
      <name val="Calibri"/>
      <family val="2"/>
    </font>
    <font>
      <sz val="28"/>
      <color theme="1"/>
      <name val="Calibri"/>
      <family val="2"/>
    </font>
    <font>
      <sz val="24"/>
      <color theme="1"/>
      <name val="Arial"/>
      <family val="2"/>
    </font>
    <font>
      <b/>
      <sz val="24"/>
      <color theme="1"/>
      <name val="Arial"/>
      <family val="2"/>
    </font>
    <font>
      <b/>
      <sz val="24"/>
      <color rgb="FFFF0000"/>
      <name val="Arial"/>
      <family val="2"/>
    </font>
    <font>
      <sz val="24"/>
      <color rgb="FFFF0000"/>
      <name val="Arial"/>
      <family val="2"/>
    </font>
    <font>
      <b/>
      <sz val="16"/>
      <color theme="1"/>
      <name val="Calibri"/>
      <family val="2"/>
    </font>
    <font>
      <b/>
      <sz val="16"/>
      <color rgb="FFFF0000"/>
      <name val="Arial"/>
      <family val="2"/>
    </font>
    <font>
      <sz val="2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right style="thin"/>
      <top style="thin"/>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color indexed="63"/>
      </left>
      <right style="thin"/>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7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0"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1" fillId="21" borderId="5" applyNumberFormat="0" applyAlignment="0" applyProtection="0"/>
    <xf numFmtId="41"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2"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43" fontId="0"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cellStyleXfs>
  <cellXfs count="589">
    <xf numFmtId="0" fontId="0" fillId="0" borderId="0" xfId="0" applyFont="1" applyAlignment="1">
      <alignment/>
    </xf>
    <xf numFmtId="0" fontId="0" fillId="0" borderId="0" xfId="0" applyAlignment="1">
      <alignment horizontal="justify" vertical="justify" wrapText="1"/>
    </xf>
    <xf numFmtId="0" fontId="0" fillId="0" borderId="0" xfId="0" applyAlignment="1">
      <alignment horizontal="center"/>
    </xf>
    <xf numFmtId="49" fontId="79" fillId="33" borderId="11" xfId="65" applyNumberFormat="1" applyFont="1" applyFill="1" applyBorder="1" applyAlignment="1">
      <alignment horizontal="center"/>
      <protection/>
    </xf>
    <xf numFmtId="4" fontId="79" fillId="33" borderId="12" xfId="59" applyNumberFormat="1" applyFont="1" applyFill="1" applyBorder="1" applyAlignment="1">
      <alignment horizontal="left" readingOrder="1"/>
      <protection/>
    </xf>
    <xf numFmtId="4" fontId="79" fillId="33" borderId="11" xfId="66" applyNumberFormat="1" applyFont="1" applyFill="1" applyBorder="1" applyAlignment="1">
      <alignment horizontal="left" vertical="center"/>
      <protection/>
    </xf>
    <xf numFmtId="4" fontId="79" fillId="33" borderId="12" xfId="0" applyNumberFormat="1" applyFont="1" applyFill="1" applyBorder="1" applyAlignment="1">
      <alignment horizontal="left"/>
    </xf>
    <xf numFmtId="49" fontId="79" fillId="33" borderId="13" xfId="65" applyNumberFormat="1" applyFont="1" applyFill="1" applyBorder="1" applyAlignment="1">
      <alignment horizontal="center"/>
      <protection/>
    </xf>
    <xf numFmtId="4" fontId="79" fillId="33" borderId="0" xfId="59" applyNumberFormat="1" applyFont="1" applyFill="1" applyBorder="1" applyAlignment="1">
      <alignment horizontal="left" readingOrder="1"/>
      <protection/>
    </xf>
    <xf numFmtId="4" fontId="79" fillId="33" borderId="13" xfId="66" applyNumberFormat="1" applyFont="1" applyFill="1" applyBorder="1" applyAlignment="1">
      <alignment horizontal="left" vertical="center"/>
      <protection/>
    </xf>
    <xf numFmtId="4" fontId="79" fillId="33" borderId="0" xfId="65" applyNumberFormat="1" applyFont="1" applyFill="1" applyBorder="1" applyAlignment="1">
      <alignment horizontal="left"/>
      <protection/>
    </xf>
    <xf numFmtId="4" fontId="80" fillId="33" borderId="0" xfId="59" applyNumberFormat="1" applyFont="1" applyFill="1" applyBorder="1" applyAlignment="1">
      <alignment vertical="center" wrapText="1" readingOrder="1"/>
      <protection/>
    </xf>
    <xf numFmtId="4" fontId="80" fillId="33" borderId="0" xfId="59" applyNumberFormat="1" applyFont="1" applyFill="1" applyBorder="1">
      <alignment/>
      <protection/>
    </xf>
    <xf numFmtId="4" fontId="80" fillId="33" borderId="0" xfId="66" applyNumberFormat="1" applyFont="1" applyFill="1" applyBorder="1" applyAlignment="1">
      <alignment horizontal="left"/>
      <protection/>
    </xf>
    <xf numFmtId="0" fontId="80" fillId="34" borderId="14" xfId="0" applyFont="1" applyFill="1" applyBorder="1" applyAlignment="1">
      <alignment horizontal="justify" vertical="justify" wrapText="1"/>
    </xf>
    <xf numFmtId="0" fontId="80" fillId="34" borderId="15" xfId="0" applyFont="1" applyFill="1" applyBorder="1" applyAlignment="1">
      <alignment horizontal="justify" vertical="justify" wrapText="1"/>
    </xf>
    <xf numFmtId="0" fontId="80" fillId="33" borderId="12" xfId="0" applyFont="1" applyFill="1" applyBorder="1" applyAlignment="1">
      <alignment horizontal="justify" vertical="justify" wrapText="1"/>
    </xf>
    <xf numFmtId="0" fontId="80" fillId="34" borderId="16" xfId="0" applyFont="1" applyFill="1" applyBorder="1" applyAlignment="1">
      <alignment horizontal="justify" vertical="justify" wrapText="1"/>
    </xf>
    <xf numFmtId="0" fontId="3" fillId="33" borderId="12" xfId="0" applyFont="1" applyFill="1" applyBorder="1" applyAlignment="1">
      <alignment horizontal="center"/>
    </xf>
    <xf numFmtId="0" fontId="78" fillId="0" borderId="0" xfId="0" applyFont="1" applyAlignment="1">
      <alignment/>
    </xf>
    <xf numFmtId="0" fontId="45" fillId="0" borderId="0" xfId="0" applyFont="1" applyAlignment="1">
      <alignment/>
    </xf>
    <xf numFmtId="0" fontId="80" fillId="34" borderId="15" xfId="0" applyFont="1" applyFill="1" applyBorder="1" applyAlignment="1">
      <alignment horizontal="center"/>
    </xf>
    <xf numFmtId="4" fontId="3" fillId="33" borderId="0" xfId="59" applyNumberFormat="1" applyFont="1" applyFill="1" applyBorder="1" applyAlignment="1">
      <alignment vertical="center" wrapText="1" readingOrder="1"/>
      <protection/>
    </xf>
    <xf numFmtId="0" fontId="72" fillId="0" borderId="0" xfId="0" applyFont="1" applyAlignment="1">
      <alignment/>
    </xf>
    <xf numFmtId="0" fontId="3" fillId="34" borderId="16" xfId="0" applyFont="1" applyFill="1" applyBorder="1" applyAlignment="1">
      <alignment horizontal="center"/>
    </xf>
    <xf numFmtId="0" fontId="3" fillId="34" borderId="15" xfId="0" applyFont="1" applyFill="1" applyBorder="1" applyAlignment="1">
      <alignment horizontal="center" vertical="justify" wrapText="1"/>
    </xf>
    <xf numFmtId="0" fontId="3" fillId="34" borderId="17" xfId="0" applyFont="1" applyFill="1" applyBorder="1" applyAlignment="1">
      <alignment horizontal="center"/>
    </xf>
    <xf numFmtId="0" fontId="80" fillId="34" borderId="17" xfId="0" applyFont="1" applyFill="1" applyBorder="1" applyAlignment="1">
      <alignment horizontal="justify" vertical="justify" wrapText="1"/>
    </xf>
    <xf numFmtId="0" fontId="81" fillId="0" borderId="0" xfId="0" applyFont="1" applyAlignment="1">
      <alignment horizontal="center" vertical="justify" wrapText="1"/>
    </xf>
    <xf numFmtId="0" fontId="80" fillId="34" borderId="14" xfId="0" applyFont="1" applyFill="1" applyBorder="1" applyAlignment="1">
      <alignment horizontal="center"/>
    </xf>
    <xf numFmtId="0" fontId="80" fillId="34" borderId="17" xfId="0" applyFont="1" applyFill="1" applyBorder="1" applyAlignment="1">
      <alignment horizontal="center"/>
    </xf>
    <xf numFmtId="0" fontId="3" fillId="34" borderId="14" xfId="0" applyFont="1" applyFill="1" applyBorder="1" applyAlignment="1">
      <alignment horizontal="center"/>
    </xf>
    <xf numFmtId="0" fontId="81" fillId="0" borderId="0" xfId="0" applyFont="1" applyAlignment="1">
      <alignment horizontal="justify" vertical="justify" wrapText="1"/>
    </xf>
    <xf numFmtId="0" fontId="47" fillId="0" borderId="0" xfId="0" applyFont="1" applyAlignment="1">
      <alignment/>
    </xf>
    <xf numFmtId="0" fontId="81" fillId="0" borderId="0" xfId="0" applyFont="1" applyAlignment="1">
      <alignment/>
    </xf>
    <xf numFmtId="4" fontId="78" fillId="0" borderId="0" xfId="0" applyNumberFormat="1" applyFont="1" applyAlignment="1">
      <alignment horizontal="center"/>
    </xf>
    <xf numFmtId="0" fontId="82" fillId="0" borderId="0" xfId="0" applyFont="1" applyAlignment="1">
      <alignment/>
    </xf>
    <xf numFmtId="2" fontId="81" fillId="0" borderId="0" xfId="0" applyNumberFormat="1" applyFont="1" applyAlignment="1">
      <alignment horizontal="justify" vertical="justify" wrapText="1"/>
    </xf>
    <xf numFmtId="0" fontId="0" fillId="35" borderId="0" xfId="0" applyFill="1" applyAlignment="1">
      <alignment/>
    </xf>
    <xf numFmtId="2" fontId="0" fillId="35" borderId="0" xfId="0" applyNumberFormat="1" applyFill="1" applyAlignment="1">
      <alignment/>
    </xf>
    <xf numFmtId="4" fontId="79" fillId="33" borderId="12" xfId="65" applyNumberFormat="1" applyFont="1" applyFill="1" applyBorder="1" applyAlignment="1">
      <alignment horizontal="left"/>
      <protection/>
    </xf>
    <xf numFmtId="4" fontId="79" fillId="33" borderId="18" xfId="65" applyNumberFormat="1" applyFont="1" applyFill="1" applyBorder="1" applyAlignment="1">
      <alignment horizontal="left"/>
      <protection/>
    </xf>
    <xf numFmtId="4" fontId="79" fillId="33" borderId="0" xfId="59" applyNumberFormat="1" applyFont="1" applyFill="1" applyBorder="1" applyAlignment="1">
      <alignment horizontal="left"/>
      <protection/>
    </xf>
    <xf numFmtId="4" fontId="79" fillId="33" borderId="19" xfId="59" applyNumberFormat="1" applyFont="1" applyFill="1" applyBorder="1" applyAlignment="1">
      <alignment horizontal="left"/>
      <protection/>
    </xf>
    <xf numFmtId="4" fontId="0" fillId="0" borderId="0" xfId="0" applyNumberFormat="1" applyAlignment="1">
      <alignment/>
    </xf>
    <xf numFmtId="0" fontId="80" fillId="34" borderId="15" xfId="0" applyFont="1" applyFill="1" applyBorder="1" applyAlignment="1">
      <alignment/>
    </xf>
    <xf numFmtId="4" fontId="80" fillId="34" borderId="15" xfId="0" applyNumberFormat="1" applyFont="1" applyFill="1" applyBorder="1" applyAlignment="1">
      <alignment/>
    </xf>
    <xf numFmtId="0" fontId="80" fillId="33" borderId="12" xfId="0" applyFont="1" applyFill="1" applyBorder="1" applyAlignment="1">
      <alignment/>
    </xf>
    <xf numFmtId="0" fontId="80" fillId="34" borderId="14" xfId="0" applyFont="1" applyFill="1" applyBorder="1" applyAlignment="1">
      <alignment/>
    </xf>
    <xf numFmtId="0" fontId="80" fillId="34" borderId="17" xfId="0" applyFont="1" applyFill="1" applyBorder="1" applyAlignment="1">
      <alignment/>
    </xf>
    <xf numFmtId="0" fontId="0" fillId="0" borderId="0" xfId="0" applyBorder="1" applyAlignment="1">
      <alignment/>
    </xf>
    <xf numFmtId="49" fontId="79" fillId="33" borderId="12" xfId="59" applyNumberFormat="1" applyFont="1" applyFill="1" applyBorder="1">
      <alignment/>
      <protection/>
    </xf>
    <xf numFmtId="49" fontId="79" fillId="33" borderId="0" xfId="59" applyNumberFormat="1" applyFont="1" applyFill="1" applyBorder="1">
      <alignment/>
      <protection/>
    </xf>
    <xf numFmtId="49" fontId="79" fillId="33" borderId="20" xfId="65" applyNumberFormat="1" applyFont="1" applyFill="1" applyBorder="1" applyAlignment="1">
      <alignment horizontal="center"/>
      <protection/>
    </xf>
    <xf numFmtId="49" fontId="79" fillId="33" borderId="21" xfId="66" applyNumberFormat="1" applyFont="1" applyFill="1" applyBorder="1" applyAlignment="1">
      <alignment horizontal="center"/>
      <protection/>
    </xf>
    <xf numFmtId="4" fontId="80" fillId="33" borderId="21" xfId="66" applyNumberFormat="1" applyFont="1" applyFill="1" applyBorder="1" applyAlignment="1">
      <alignment/>
      <protection/>
    </xf>
    <xf numFmtId="0" fontId="5" fillId="0" borderId="15" xfId="0" applyFont="1" applyFill="1" applyBorder="1" applyAlignment="1">
      <alignment horizontal="center" vertical="center"/>
    </xf>
    <xf numFmtId="4" fontId="5" fillId="0" borderId="11" xfId="0" applyNumberFormat="1" applyFont="1" applyFill="1" applyBorder="1" applyAlignment="1">
      <alignment horizontal="center" vertical="center"/>
    </xf>
    <xf numFmtId="0" fontId="79" fillId="34" borderId="15" xfId="0" applyFont="1" applyFill="1" applyBorder="1" applyAlignment="1">
      <alignment horizontal="center"/>
    </xf>
    <xf numFmtId="0" fontId="79" fillId="34" borderId="15" xfId="0" applyFont="1" applyFill="1" applyBorder="1" applyAlignment="1">
      <alignment/>
    </xf>
    <xf numFmtId="0" fontId="79" fillId="34" borderId="15" xfId="0" applyFont="1" applyFill="1" applyBorder="1" applyAlignment="1">
      <alignment horizontal="justify" vertical="justify" wrapText="1"/>
    </xf>
    <xf numFmtId="4" fontId="5" fillId="34" borderId="15" xfId="56" applyNumberFormat="1" applyFont="1" applyFill="1" applyBorder="1" applyAlignment="1">
      <alignment horizontal="right"/>
      <protection/>
    </xf>
    <xf numFmtId="2" fontId="80" fillId="34" borderId="15" xfId="0" applyNumberFormat="1" applyFont="1" applyFill="1" applyBorder="1" applyAlignment="1">
      <alignment/>
    </xf>
    <xf numFmtId="4" fontId="3" fillId="34" borderId="15" xfId="56" applyNumberFormat="1" applyFont="1" applyFill="1" applyBorder="1" applyAlignment="1">
      <alignment horizontal="right"/>
      <protection/>
    </xf>
    <xf numFmtId="0" fontId="80" fillId="33" borderId="11" xfId="0" applyFont="1" applyFill="1" applyBorder="1" applyAlignment="1">
      <alignment horizontal="center"/>
    </xf>
    <xf numFmtId="4" fontId="80" fillId="33" borderId="12" xfId="0" applyNumberFormat="1" applyFont="1" applyFill="1" applyBorder="1" applyAlignment="1">
      <alignment/>
    </xf>
    <xf numFmtId="4" fontId="3" fillId="33" borderId="18" xfId="56" applyNumberFormat="1" applyFont="1" applyFill="1" applyBorder="1" applyAlignment="1">
      <alignment horizontal="right"/>
      <protection/>
    </xf>
    <xf numFmtId="0" fontId="80" fillId="33" borderId="13" xfId="0" applyFont="1" applyFill="1" applyBorder="1" applyAlignment="1">
      <alignment horizontal="center"/>
    </xf>
    <xf numFmtId="0" fontId="80" fillId="33" borderId="0" xfId="0" applyFont="1" applyFill="1" applyBorder="1" applyAlignment="1">
      <alignment/>
    </xf>
    <xf numFmtId="0" fontId="80" fillId="33" borderId="0" xfId="0" applyFont="1" applyFill="1" applyBorder="1" applyAlignment="1">
      <alignment horizontal="justify" vertical="justify" wrapText="1"/>
    </xf>
    <xf numFmtId="4" fontId="80" fillId="33" borderId="0" xfId="0" applyNumberFormat="1" applyFont="1" applyFill="1" applyBorder="1" applyAlignment="1">
      <alignment/>
    </xf>
    <xf numFmtId="4" fontId="3" fillId="33" borderId="19" xfId="56" applyNumberFormat="1" applyFont="1" applyFill="1" applyBorder="1" applyAlignment="1">
      <alignment horizontal="right"/>
      <protection/>
    </xf>
    <xf numFmtId="2" fontId="80" fillId="34" borderId="14" xfId="0" applyNumberFormat="1" applyFont="1" applyFill="1" applyBorder="1" applyAlignment="1">
      <alignment/>
    </xf>
    <xf numFmtId="4" fontId="3" fillId="34" borderId="14" xfId="56" applyNumberFormat="1" applyFont="1" applyFill="1" applyBorder="1" applyAlignment="1">
      <alignment horizontal="right"/>
      <protection/>
    </xf>
    <xf numFmtId="181" fontId="3" fillId="34" borderId="15" xfId="0" applyNumberFormat="1" applyFont="1" applyFill="1" applyBorder="1" applyAlignment="1">
      <alignment/>
    </xf>
    <xf numFmtId="0" fontId="3" fillId="34" borderId="15" xfId="0" applyFont="1" applyFill="1" applyBorder="1" applyAlignment="1">
      <alignment horizontal="center"/>
    </xf>
    <xf numFmtId="0" fontId="3" fillId="34" borderId="15" xfId="0" applyFont="1" applyFill="1" applyBorder="1" applyAlignment="1">
      <alignment/>
    </xf>
    <xf numFmtId="0" fontId="3" fillId="34" borderId="15" xfId="0" applyFont="1" applyFill="1" applyBorder="1" applyAlignment="1">
      <alignment horizontal="justify" vertical="justify" wrapText="1"/>
    </xf>
    <xf numFmtId="0" fontId="3" fillId="33" borderId="11" xfId="0" applyFont="1" applyFill="1" applyBorder="1" applyAlignment="1">
      <alignment horizontal="center"/>
    </xf>
    <xf numFmtId="0" fontId="3" fillId="33" borderId="12" xfId="0" applyFont="1" applyFill="1" applyBorder="1" applyAlignment="1">
      <alignment/>
    </xf>
    <xf numFmtId="0" fontId="3" fillId="33" borderId="12" xfId="0" applyFont="1" applyFill="1" applyBorder="1" applyAlignment="1">
      <alignment horizontal="justify" vertical="justify" wrapText="1"/>
    </xf>
    <xf numFmtId="4" fontId="3" fillId="33" borderId="12" xfId="0" applyNumberFormat="1" applyFont="1" applyFill="1" applyBorder="1" applyAlignment="1">
      <alignment/>
    </xf>
    <xf numFmtId="0" fontId="3" fillId="33" borderId="13"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horizontal="justify" vertical="justify" wrapText="1"/>
    </xf>
    <xf numFmtId="4" fontId="3" fillId="33" borderId="0" xfId="0" applyNumberFormat="1" applyFont="1" applyFill="1" applyBorder="1" applyAlignment="1">
      <alignment/>
    </xf>
    <xf numFmtId="0" fontId="3" fillId="34" borderId="14" xfId="0" applyFont="1" applyFill="1" applyBorder="1" applyAlignment="1">
      <alignment/>
    </xf>
    <xf numFmtId="0" fontId="3" fillId="34" borderId="14" xfId="0" applyFont="1" applyFill="1" applyBorder="1" applyAlignment="1">
      <alignment horizontal="justify" vertical="justify" wrapText="1"/>
    </xf>
    <xf numFmtId="181" fontId="80" fillId="34" borderId="14" xfId="0" applyNumberFormat="1" applyFont="1" applyFill="1" applyBorder="1" applyAlignment="1">
      <alignment/>
    </xf>
    <xf numFmtId="181" fontId="80" fillId="34" borderId="15" xfId="0" applyNumberFormat="1" applyFont="1" applyFill="1" applyBorder="1" applyAlignment="1">
      <alignment/>
    </xf>
    <xf numFmtId="0" fontId="79" fillId="34" borderId="14" xfId="0" applyFont="1" applyFill="1" applyBorder="1" applyAlignment="1">
      <alignment horizontal="center"/>
    </xf>
    <xf numFmtId="0" fontId="79" fillId="34" borderId="14" xfId="0" applyFont="1" applyFill="1" applyBorder="1" applyAlignment="1">
      <alignment/>
    </xf>
    <xf numFmtId="0" fontId="79" fillId="34" borderId="14" xfId="0" applyFont="1" applyFill="1" applyBorder="1" applyAlignment="1">
      <alignment horizontal="justify" vertical="justify" wrapText="1"/>
    </xf>
    <xf numFmtId="4" fontId="79" fillId="34" borderId="14" xfId="0" applyNumberFormat="1" applyFont="1" applyFill="1" applyBorder="1" applyAlignment="1">
      <alignment/>
    </xf>
    <xf numFmtId="0" fontId="79" fillId="34" borderId="17" xfId="0" applyFont="1" applyFill="1" applyBorder="1" applyAlignment="1">
      <alignment horizontal="center"/>
    </xf>
    <xf numFmtId="0" fontId="79" fillId="34" borderId="17" xfId="0" applyFont="1" applyFill="1" applyBorder="1" applyAlignment="1">
      <alignment/>
    </xf>
    <xf numFmtId="0" fontId="79" fillId="34" borderId="17" xfId="0" applyFont="1" applyFill="1" applyBorder="1" applyAlignment="1">
      <alignment horizontal="justify" vertical="justify" wrapText="1"/>
    </xf>
    <xf numFmtId="4" fontId="79" fillId="34" borderId="17" xfId="0" applyNumberFormat="1" applyFont="1" applyFill="1" applyBorder="1" applyAlignment="1">
      <alignment/>
    </xf>
    <xf numFmtId="0" fontId="3" fillId="34" borderId="14" xfId="0" applyFont="1" applyFill="1" applyBorder="1" applyAlignment="1">
      <alignment horizontal="center" vertical="justify" wrapText="1"/>
    </xf>
    <xf numFmtId="4" fontId="3" fillId="34" borderId="14" xfId="0" applyNumberFormat="1" applyFont="1" applyFill="1" applyBorder="1" applyAlignment="1">
      <alignment/>
    </xf>
    <xf numFmtId="4" fontId="3" fillId="34" borderId="14" xfId="68" applyNumberFormat="1" applyFont="1" applyFill="1" applyBorder="1" applyAlignment="1">
      <alignment horizontal="right"/>
      <protection/>
    </xf>
    <xf numFmtId="0" fontId="3" fillId="33" borderId="20" xfId="0" applyFont="1" applyFill="1" applyBorder="1" applyAlignment="1">
      <alignment horizontal="center"/>
    </xf>
    <xf numFmtId="0" fontId="3" fillId="33" borderId="21" xfId="0" applyFont="1" applyFill="1" applyBorder="1" applyAlignment="1">
      <alignment/>
    </xf>
    <xf numFmtId="0" fontId="3" fillId="33" borderId="21" xfId="0" applyFont="1" applyFill="1" applyBorder="1" applyAlignment="1">
      <alignment horizontal="justify" vertical="justify" wrapText="1"/>
    </xf>
    <xf numFmtId="4" fontId="3" fillId="33" borderId="22" xfId="56" applyNumberFormat="1" applyFont="1" applyFill="1" applyBorder="1" applyAlignment="1">
      <alignment horizontal="right"/>
      <protection/>
    </xf>
    <xf numFmtId="4" fontId="80" fillId="34" borderId="17" xfId="0" applyNumberFormat="1" applyFont="1" applyFill="1" applyBorder="1" applyAlignment="1">
      <alignment/>
    </xf>
    <xf numFmtId="4" fontId="3" fillId="34" borderId="17" xfId="56" applyNumberFormat="1" applyFont="1" applyFill="1" applyBorder="1" applyAlignment="1">
      <alignment horizontal="right"/>
      <protection/>
    </xf>
    <xf numFmtId="4" fontId="80" fillId="34" borderId="14" xfId="0" applyNumberFormat="1" applyFont="1" applyFill="1" applyBorder="1" applyAlignment="1">
      <alignment/>
    </xf>
    <xf numFmtId="0" fontId="3" fillId="34" borderId="16" xfId="0" applyFont="1" applyFill="1" applyBorder="1" applyAlignment="1">
      <alignment/>
    </xf>
    <xf numFmtId="0" fontId="3" fillId="34" borderId="16" xfId="0" applyFont="1" applyFill="1" applyBorder="1" applyAlignment="1">
      <alignment horizontal="justify" vertical="justify" wrapText="1"/>
    </xf>
    <xf numFmtId="2" fontId="3" fillId="34" borderId="16" xfId="0" applyNumberFormat="1" applyFont="1" applyFill="1" applyBorder="1" applyAlignment="1">
      <alignment/>
    </xf>
    <xf numFmtId="4" fontId="3" fillId="34" borderId="16" xfId="56" applyNumberFormat="1" applyFont="1" applyFill="1" applyBorder="1" applyAlignment="1">
      <alignment horizontal="right"/>
      <protection/>
    </xf>
    <xf numFmtId="4" fontId="3" fillId="33" borderId="12" xfId="68" applyNumberFormat="1" applyFont="1" applyFill="1" applyBorder="1" applyAlignment="1">
      <alignment horizontal="right"/>
      <protection/>
    </xf>
    <xf numFmtId="0" fontId="3" fillId="33" borderId="0" xfId="0" applyFont="1" applyFill="1" applyBorder="1" applyAlignment="1">
      <alignment horizontal="center"/>
    </xf>
    <xf numFmtId="4" fontId="3" fillId="33" borderId="0" xfId="68" applyNumberFormat="1" applyFont="1" applyFill="1" applyBorder="1" applyAlignment="1">
      <alignment horizontal="right"/>
      <protection/>
    </xf>
    <xf numFmtId="0" fontId="80" fillId="33" borderId="20" xfId="0" applyFont="1" applyFill="1" applyBorder="1" applyAlignment="1">
      <alignment horizontal="center"/>
    </xf>
    <xf numFmtId="0" fontId="80" fillId="33" borderId="21" xfId="0" applyFont="1" applyFill="1" applyBorder="1" applyAlignment="1">
      <alignment horizontal="justify" vertical="justify" wrapText="1"/>
    </xf>
    <xf numFmtId="0" fontId="80" fillId="33" borderId="21" xfId="0" applyFont="1" applyFill="1" applyBorder="1" applyAlignment="1">
      <alignment/>
    </xf>
    <xf numFmtId="4" fontId="80" fillId="33" borderId="21" xfId="0" applyNumberFormat="1" applyFont="1" applyFill="1" applyBorder="1" applyAlignment="1">
      <alignment/>
    </xf>
    <xf numFmtId="4" fontId="3" fillId="34" borderId="15" xfId="0" applyNumberFormat="1" applyFont="1" applyFill="1" applyBorder="1" applyAlignment="1">
      <alignment/>
    </xf>
    <xf numFmtId="4" fontId="3" fillId="34" borderId="15" xfId="68" applyNumberFormat="1" applyFont="1" applyFill="1" applyBorder="1" applyAlignment="1">
      <alignment horizontal="right"/>
      <protection/>
    </xf>
    <xf numFmtId="0" fontId="3" fillId="34" borderId="17" xfId="0" applyFont="1" applyFill="1" applyBorder="1" applyAlignment="1">
      <alignment/>
    </xf>
    <xf numFmtId="0" fontId="3" fillId="34" borderId="17" xfId="0" applyFont="1" applyFill="1" applyBorder="1" applyAlignment="1">
      <alignment horizontal="justify" vertical="justify" wrapText="1"/>
    </xf>
    <xf numFmtId="4" fontId="3" fillId="34" borderId="17" xfId="0" applyNumberFormat="1" applyFont="1" applyFill="1" applyBorder="1" applyAlignment="1">
      <alignment/>
    </xf>
    <xf numFmtId="4" fontId="3" fillId="34" borderId="17" xfId="68" applyNumberFormat="1" applyFont="1" applyFill="1" applyBorder="1" applyAlignment="1">
      <alignment horizontal="right"/>
      <protection/>
    </xf>
    <xf numFmtId="0" fontId="80" fillId="34" borderId="16" xfId="0" applyFont="1" applyFill="1" applyBorder="1" applyAlignment="1">
      <alignment horizontal="center"/>
    </xf>
    <xf numFmtId="0" fontId="3" fillId="34" borderId="16" xfId="0" applyFont="1" applyFill="1" applyBorder="1" applyAlignment="1">
      <alignment horizontal="center" vertical="justify" wrapText="1"/>
    </xf>
    <xf numFmtId="0" fontId="80" fillId="34" borderId="16" xfId="0" applyFont="1" applyFill="1" applyBorder="1" applyAlignment="1">
      <alignment/>
    </xf>
    <xf numFmtId="4" fontId="80" fillId="34" borderId="16" xfId="0" applyNumberFormat="1" applyFont="1" applyFill="1" applyBorder="1" applyAlignment="1">
      <alignment/>
    </xf>
    <xf numFmtId="4" fontId="3" fillId="34" borderId="16" xfId="68" applyNumberFormat="1" applyFont="1" applyFill="1" applyBorder="1" applyAlignment="1">
      <alignment horizontal="right"/>
      <protection/>
    </xf>
    <xf numFmtId="0" fontId="5" fillId="33" borderId="13" xfId="0"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alignment horizontal="justify" vertical="justify" wrapText="1"/>
    </xf>
    <xf numFmtId="4" fontId="5" fillId="33" borderId="0" xfId="0" applyNumberFormat="1" applyFont="1" applyFill="1" applyBorder="1" applyAlignment="1">
      <alignment/>
    </xf>
    <xf numFmtId="4" fontId="5" fillId="33" borderId="19" xfId="56" applyNumberFormat="1" applyFont="1" applyFill="1" applyBorder="1" applyAlignment="1">
      <alignment horizontal="right"/>
      <protection/>
    </xf>
    <xf numFmtId="4" fontId="5" fillId="33" borderId="12" xfId="0" applyNumberFormat="1" applyFont="1" applyFill="1" applyBorder="1" applyAlignment="1">
      <alignment/>
    </xf>
    <xf numFmtId="0" fontId="83" fillId="35" borderId="13" xfId="0" applyFont="1" applyFill="1" applyBorder="1" applyAlignment="1">
      <alignment horizontal="center"/>
    </xf>
    <xf numFmtId="0" fontId="83" fillId="35" borderId="0" xfId="0" applyFont="1" applyFill="1" applyBorder="1" applyAlignment="1">
      <alignment/>
    </xf>
    <xf numFmtId="0" fontId="83" fillId="35" borderId="0" xfId="0" applyFont="1" applyFill="1" applyBorder="1" applyAlignment="1">
      <alignment horizontal="justify" vertical="justify" wrapText="1"/>
    </xf>
    <xf numFmtId="4" fontId="83" fillId="35" borderId="0" xfId="0" applyNumberFormat="1" applyFont="1" applyFill="1" applyBorder="1" applyAlignment="1">
      <alignment/>
    </xf>
    <xf numFmtId="4" fontId="83" fillId="35" borderId="19" xfId="56" applyNumberFormat="1" applyFont="1" applyFill="1" applyBorder="1" applyAlignment="1">
      <alignment horizontal="right"/>
      <protection/>
    </xf>
    <xf numFmtId="0" fontId="84" fillId="35" borderId="0" xfId="0" applyFont="1" applyFill="1" applyAlignment="1">
      <alignment/>
    </xf>
    <xf numFmtId="4" fontId="3" fillId="34" borderId="16" xfId="0" applyNumberFormat="1" applyFont="1" applyFill="1" applyBorder="1" applyAlignment="1">
      <alignment/>
    </xf>
    <xf numFmtId="4" fontId="5" fillId="33" borderId="18" xfId="56" applyNumberFormat="1" applyFont="1" applyFill="1" applyBorder="1" applyAlignment="1">
      <alignment horizontal="right"/>
      <protection/>
    </xf>
    <xf numFmtId="0" fontId="3" fillId="0" borderId="11" xfId="67" applyFont="1" applyBorder="1" applyAlignment="1">
      <alignment horizontal="right" vertical="top"/>
      <protection/>
    </xf>
    <xf numFmtId="0" fontId="3" fillId="0" borderId="12" xfId="67" applyFont="1" applyBorder="1" applyAlignment="1">
      <alignment horizontal="center" vertical="top"/>
      <protection/>
    </xf>
    <xf numFmtId="0" fontId="3" fillId="0" borderId="12" xfId="67" applyFont="1" applyBorder="1" applyAlignment="1">
      <alignment horizontal="justify" vertical="top"/>
      <protection/>
    </xf>
    <xf numFmtId="4" fontId="3" fillId="0" borderId="12" xfId="67" applyNumberFormat="1" applyFont="1" applyBorder="1" applyAlignment="1">
      <alignment horizontal="center"/>
      <protection/>
    </xf>
    <xf numFmtId="4" fontId="3" fillId="0" borderId="12" xfId="67" applyNumberFormat="1" applyFont="1" applyBorder="1" applyAlignment="1">
      <alignment/>
      <protection/>
    </xf>
    <xf numFmtId="4" fontId="3" fillId="0" borderId="18" xfId="67" applyNumberFormat="1" applyFont="1" applyBorder="1" applyAlignment="1">
      <alignment/>
      <protection/>
    </xf>
    <xf numFmtId="0" fontId="3" fillId="0" borderId="0" xfId="65" applyFont="1">
      <alignment/>
      <protection/>
    </xf>
    <xf numFmtId="0" fontId="3" fillId="0" borderId="13" xfId="67" applyFont="1" applyBorder="1" applyAlignment="1">
      <alignment horizontal="right" vertical="top"/>
      <protection/>
    </xf>
    <xf numFmtId="0" fontId="6" fillId="0" borderId="0" xfId="67" applyFont="1" applyBorder="1" applyAlignment="1">
      <alignment horizontal="center" vertical="top"/>
      <protection/>
    </xf>
    <xf numFmtId="0" fontId="7" fillId="0" borderId="0" xfId="67" applyFont="1" applyBorder="1" applyAlignment="1">
      <alignment horizontal="justify" vertical="top"/>
      <protection/>
    </xf>
    <xf numFmtId="4" fontId="3" fillId="0" borderId="0" xfId="67" applyNumberFormat="1" applyFont="1" applyBorder="1" applyAlignment="1">
      <alignment horizontal="center"/>
      <protection/>
    </xf>
    <xf numFmtId="4" fontId="3" fillId="0" borderId="0" xfId="67" applyNumberFormat="1" applyFont="1" applyBorder="1" applyAlignment="1">
      <alignment/>
      <protection/>
    </xf>
    <xf numFmtId="4" fontId="3" fillId="0" borderId="19" xfId="67" applyNumberFormat="1" applyFont="1" applyBorder="1" applyAlignment="1">
      <alignment/>
      <protection/>
    </xf>
    <xf numFmtId="0" fontId="3" fillId="0" borderId="0" xfId="67" applyFont="1" applyBorder="1" applyAlignment="1">
      <alignment horizontal="center" vertical="top"/>
      <protection/>
    </xf>
    <xf numFmtId="0" fontId="3" fillId="0" borderId="0" xfId="67" applyFont="1" applyBorder="1" applyAlignment="1">
      <alignment horizontal="justify" vertical="top"/>
      <protection/>
    </xf>
    <xf numFmtId="0" fontId="3" fillId="0" borderId="20" xfId="67" applyFont="1" applyBorder="1" applyAlignment="1">
      <alignment horizontal="right" vertical="top"/>
      <protection/>
    </xf>
    <xf numFmtId="0" fontId="3" fillId="0" borderId="21" xfId="67" applyFont="1" applyBorder="1" applyAlignment="1">
      <alignment horizontal="center" vertical="top"/>
      <protection/>
    </xf>
    <xf numFmtId="0" fontId="3" fillId="0" borderId="21" xfId="67" applyFont="1" applyBorder="1" applyAlignment="1">
      <alignment horizontal="justify" vertical="top"/>
      <protection/>
    </xf>
    <xf numFmtId="4" fontId="3" fillId="0" borderId="21" xfId="67" applyNumberFormat="1" applyFont="1" applyBorder="1" applyAlignment="1">
      <alignment horizontal="center"/>
      <protection/>
    </xf>
    <xf numFmtId="4" fontId="3" fillId="0" borderId="21" xfId="67" applyNumberFormat="1" applyFont="1" applyBorder="1" applyAlignment="1">
      <alignment/>
      <protection/>
    </xf>
    <xf numFmtId="4" fontId="3" fillId="0" borderId="22" xfId="67" applyNumberFormat="1" applyFont="1" applyBorder="1" applyAlignment="1">
      <alignment/>
      <protection/>
    </xf>
    <xf numFmtId="0" fontId="5" fillId="34" borderId="14" xfId="68" applyFont="1" applyFill="1" applyBorder="1" applyAlignment="1">
      <alignment horizontal="center" vertical="center"/>
      <protection/>
    </xf>
    <xf numFmtId="0" fontId="5" fillId="34" borderId="14" xfId="0" applyFont="1" applyFill="1" applyBorder="1" applyAlignment="1">
      <alignment horizontal="center"/>
    </xf>
    <xf numFmtId="0" fontId="5" fillId="34" borderId="14" xfId="68" applyFont="1" applyFill="1" applyBorder="1" applyAlignment="1">
      <alignment horizontal="justify" vertical="top" wrapText="1"/>
      <protection/>
    </xf>
    <xf numFmtId="4" fontId="5" fillId="34" borderId="14" xfId="68" applyNumberFormat="1" applyFont="1" applyFill="1" applyBorder="1" applyAlignment="1">
      <alignment horizontal="center"/>
      <protection/>
    </xf>
    <xf numFmtId="4" fontId="5" fillId="34" borderId="14" xfId="68" applyNumberFormat="1" applyFont="1" applyFill="1" applyBorder="1" applyAlignment="1">
      <alignment horizontal="right"/>
      <protection/>
    </xf>
    <xf numFmtId="4" fontId="5" fillId="34" borderId="14" xfId="56" applyNumberFormat="1" applyFont="1" applyFill="1" applyBorder="1" applyAlignment="1">
      <alignment horizontal="right"/>
      <protection/>
    </xf>
    <xf numFmtId="181" fontId="3" fillId="34" borderId="14" xfId="0" applyNumberFormat="1" applyFont="1" applyFill="1" applyBorder="1" applyAlignment="1">
      <alignment/>
    </xf>
    <xf numFmtId="2" fontId="3" fillId="34" borderId="14" xfId="0" applyNumberFormat="1" applyFont="1" applyFill="1" applyBorder="1" applyAlignment="1">
      <alignment/>
    </xf>
    <xf numFmtId="0" fontId="0" fillId="0" borderId="14" xfId="0" applyBorder="1" applyAlignment="1">
      <alignment horizontal="center" vertical="center"/>
    </xf>
    <xf numFmtId="17" fontId="0" fillId="0" borderId="14" xfId="0" applyNumberFormat="1" applyBorder="1" applyAlignment="1">
      <alignment horizontal="center" vertical="center"/>
    </xf>
    <xf numFmtId="14" fontId="0" fillId="0" borderId="14" xfId="0" applyNumberFormat="1" applyBorder="1" applyAlignment="1">
      <alignment horizontal="center" vertical="center"/>
    </xf>
    <xf numFmtId="2" fontId="0" fillId="0" borderId="14" xfId="0" applyNumberFormat="1" applyBorder="1" applyAlignment="1">
      <alignment horizontal="center" vertical="center"/>
    </xf>
    <xf numFmtId="8" fontId="0" fillId="0" borderId="14" xfId="0" applyNumberFormat="1" applyBorder="1" applyAlignment="1">
      <alignment horizontal="center" vertical="center"/>
    </xf>
    <xf numFmtId="0" fontId="0" fillId="0" borderId="0" xfId="0" applyBorder="1" applyAlignment="1">
      <alignment horizontal="center" vertical="center"/>
    </xf>
    <xf numFmtId="0" fontId="5" fillId="33" borderId="12" xfId="0" applyFont="1" applyFill="1" applyBorder="1" applyAlignment="1">
      <alignment/>
    </xf>
    <xf numFmtId="0" fontId="85" fillId="0" borderId="0" xfId="0" applyFont="1" applyAlignment="1">
      <alignment horizontal="center" vertical="center" wrapText="1"/>
    </xf>
    <xf numFmtId="0" fontId="45" fillId="34" borderId="0" xfId="0" applyFont="1" applyFill="1" applyAlignment="1">
      <alignment/>
    </xf>
    <xf numFmtId="0" fontId="85" fillId="34" borderId="0" xfId="0" applyFont="1" applyFill="1" applyAlignment="1">
      <alignment horizontal="justify" vertical="justify" wrapText="1"/>
    </xf>
    <xf numFmtId="0" fontId="52" fillId="34" borderId="0" xfId="0" applyFont="1" applyFill="1" applyAlignment="1">
      <alignment horizontal="justify" vertical="justify" wrapText="1"/>
    </xf>
    <xf numFmtId="0" fontId="3" fillId="33" borderId="14" xfId="0" applyFont="1" applyFill="1" applyBorder="1" applyAlignment="1">
      <alignment horizontal="center"/>
    </xf>
    <xf numFmtId="0" fontId="3" fillId="33" borderId="14" xfId="0" applyFont="1" applyFill="1" applyBorder="1" applyAlignment="1">
      <alignment horizontal="justify" vertical="justify" wrapText="1"/>
    </xf>
    <xf numFmtId="0" fontId="3" fillId="33" borderId="14" xfId="0" applyFont="1" applyFill="1" applyBorder="1" applyAlignment="1">
      <alignment/>
    </xf>
    <xf numFmtId="0" fontId="52" fillId="0" borderId="0" xfId="0" applyFont="1" applyAlignment="1">
      <alignment horizontal="center" vertical="center" wrapText="1"/>
    </xf>
    <xf numFmtId="0" fontId="9" fillId="35" borderId="14" xfId="68" applyFont="1" applyFill="1" applyBorder="1" applyAlignment="1">
      <alignment horizontal="justify" vertical="top" wrapText="1"/>
      <protection/>
    </xf>
    <xf numFmtId="0" fontId="8" fillId="35" borderId="14" xfId="68" applyFont="1" applyFill="1" applyBorder="1" applyAlignment="1">
      <alignment horizontal="center" vertical="center"/>
      <protection/>
    </xf>
    <xf numFmtId="0" fontId="8" fillId="35" borderId="14" xfId="0" applyFont="1" applyFill="1" applyBorder="1" applyAlignment="1">
      <alignment horizontal="center"/>
    </xf>
    <xf numFmtId="4" fontId="8" fillId="35" borderId="14" xfId="68" applyNumberFormat="1" applyFont="1" applyFill="1" applyBorder="1" applyAlignment="1">
      <alignment horizontal="center"/>
      <protection/>
    </xf>
    <xf numFmtId="4" fontId="8" fillId="35" borderId="14" xfId="68" applyNumberFormat="1" applyFont="1" applyFill="1" applyBorder="1" applyAlignment="1">
      <alignment horizontal="right"/>
      <protection/>
    </xf>
    <xf numFmtId="4" fontId="8" fillId="35" borderId="14" xfId="56" applyNumberFormat="1" applyFont="1" applyFill="1" applyBorder="1" applyAlignment="1">
      <alignment horizontal="right"/>
      <protection/>
    </xf>
    <xf numFmtId="4" fontId="53" fillId="35" borderId="0" xfId="0" applyNumberFormat="1" applyFont="1" applyFill="1" applyAlignment="1">
      <alignment horizontal="justify" vertical="justify" wrapText="1"/>
    </xf>
    <xf numFmtId="0" fontId="53" fillId="0" borderId="0" xfId="0" applyFont="1" applyAlignment="1">
      <alignment/>
    </xf>
    <xf numFmtId="0" fontId="53" fillId="35" borderId="0" xfId="0" applyFont="1" applyFill="1" applyAlignment="1">
      <alignment/>
    </xf>
    <xf numFmtId="0" fontId="0" fillId="33" borderId="0" xfId="0" applyFill="1" applyAlignment="1">
      <alignment/>
    </xf>
    <xf numFmtId="181" fontId="5" fillId="33" borderId="0" xfId="0" applyNumberFormat="1" applyFont="1" applyFill="1" applyBorder="1" applyAlignment="1">
      <alignment/>
    </xf>
    <xf numFmtId="0" fontId="5" fillId="34" borderId="13" xfId="0" applyFont="1" applyFill="1" applyBorder="1" applyAlignment="1">
      <alignment horizontal="center"/>
    </xf>
    <xf numFmtId="0" fontId="5" fillId="34" borderId="0" xfId="0" applyFont="1" applyFill="1" applyBorder="1" applyAlignment="1">
      <alignment/>
    </xf>
    <xf numFmtId="0" fontId="5" fillId="34" borderId="0" xfId="0" applyFont="1" applyFill="1" applyBorder="1" applyAlignment="1">
      <alignment horizontal="justify" vertical="justify" wrapText="1"/>
    </xf>
    <xf numFmtId="181" fontId="5" fillId="34" borderId="0" xfId="0" applyNumberFormat="1" applyFont="1" applyFill="1" applyBorder="1" applyAlignment="1">
      <alignment/>
    </xf>
    <xf numFmtId="4" fontId="5" fillId="34" borderId="0" xfId="0" applyNumberFormat="1" applyFont="1" applyFill="1" applyBorder="1" applyAlignment="1">
      <alignment/>
    </xf>
    <xf numFmtId="4" fontId="5" fillId="34" borderId="19" xfId="56" applyNumberFormat="1" applyFont="1" applyFill="1" applyBorder="1" applyAlignment="1">
      <alignment horizontal="right"/>
      <protection/>
    </xf>
    <xf numFmtId="4" fontId="3" fillId="33" borderId="0" xfId="56" applyNumberFormat="1" applyFont="1" applyFill="1" applyBorder="1" applyAlignment="1">
      <alignment horizontal="right"/>
      <protection/>
    </xf>
    <xf numFmtId="0" fontId="5" fillId="33" borderId="0" xfId="0" applyFont="1" applyFill="1" applyBorder="1" applyAlignment="1">
      <alignment horizontal="center"/>
    </xf>
    <xf numFmtId="4" fontId="5" fillId="33" borderId="0" xfId="56" applyNumberFormat="1" applyFont="1" applyFill="1" applyBorder="1" applyAlignment="1">
      <alignment horizontal="right"/>
      <protection/>
    </xf>
    <xf numFmtId="0" fontId="3" fillId="0" borderId="0" xfId="55" applyFont="1">
      <alignment/>
      <protection/>
    </xf>
    <xf numFmtId="0" fontId="3" fillId="33" borderId="12" xfId="55" applyFont="1" applyFill="1" applyBorder="1" applyAlignment="1">
      <alignment horizontal="justify" vertical="justify" wrapText="1"/>
      <protection/>
    </xf>
    <xf numFmtId="0" fontId="3" fillId="33" borderId="0" xfId="55" applyFont="1" applyFill="1" applyBorder="1" applyAlignment="1">
      <alignment horizontal="justify" vertical="justify" wrapText="1"/>
      <protection/>
    </xf>
    <xf numFmtId="49" fontId="3" fillId="33" borderId="11" xfId="55" applyNumberFormat="1" applyFont="1" applyFill="1" applyBorder="1" applyAlignment="1">
      <alignment horizontal="center" vertical="center" wrapText="1"/>
      <protection/>
    </xf>
    <xf numFmtId="0" fontId="54" fillId="33" borderId="12" xfId="55" applyFont="1" applyFill="1" applyBorder="1" applyAlignment="1">
      <alignment horizontal="center" vertical="center"/>
      <protection/>
    </xf>
    <xf numFmtId="0" fontId="3" fillId="33" borderId="12" xfId="55" applyFont="1" applyFill="1" applyBorder="1" applyAlignment="1">
      <alignment horizontal="center" vertical="center"/>
      <protection/>
    </xf>
    <xf numFmtId="179" fontId="3" fillId="33" borderId="12" xfId="53" applyNumberFormat="1" applyFont="1" applyFill="1" applyBorder="1" applyAlignment="1">
      <alignment horizontal="center" vertical="center" wrapText="1"/>
    </xf>
    <xf numFmtId="4" fontId="3" fillId="33" borderId="12" xfId="68" applyNumberFormat="1" applyFont="1" applyFill="1" applyBorder="1" applyAlignment="1">
      <alignment horizontal="center"/>
      <protection/>
    </xf>
    <xf numFmtId="44" fontId="3" fillId="33" borderId="18" xfId="53" applyFont="1" applyFill="1" applyBorder="1" applyAlignment="1">
      <alignment horizontal="right"/>
    </xf>
    <xf numFmtId="49" fontId="3" fillId="33" borderId="13" xfId="55" applyNumberFormat="1" applyFont="1" applyFill="1" applyBorder="1" applyAlignment="1">
      <alignment horizontal="center" vertical="center" wrapText="1"/>
      <protection/>
    </xf>
    <xf numFmtId="0" fontId="54" fillId="33" borderId="0" xfId="55" applyFont="1" applyFill="1" applyBorder="1" applyAlignment="1">
      <alignment horizontal="center" vertical="center"/>
      <protection/>
    </xf>
    <xf numFmtId="0" fontId="3" fillId="33" borderId="0" xfId="55" applyFont="1" applyFill="1" applyBorder="1" applyAlignment="1">
      <alignment horizontal="center" vertical="center"/>
      <protection/>
    </xf>
    <xf numFmtId="179" fontId="3" fillId="33" borderId="0" xfId="53" applyNumberFormat="1" applyFont="1" applyFill="1" applyBorder="1" applyAlignment="1">
      <alignment horizontal="center" vertical="center" wrapText="1"/>
    </xf>
    <xf numFmtId="4" fontId="3" fillId="33" borderId="0" xfId="68" applyNumberFormat="1" applyFont="1" applyFill="1" applyBorder="1" applyAlignment="1">
      <alignment horizontal="center"/>
      <protection/>
    </xf>
    <xf numFmtId="44" fontId="3" fillId="33" borderId="19" xfId="53" applyFont="1" applyFill="1" applyBorder="1" applyAlignment="1">
      <alignment horizontal="right"/>
    </xf>
    <xf numFmtId="49" fontId="3" fillId="33" borderId="15" xfId="55" applyNumberFormat="1" applyFont="1" applyFill="1" applyBorder="1" applyAlignment="1">
      <alignment horizontal="center" vertical="center" wrapText="1"/>
      <protection/>
    </xf>
    <xf numFmtId="0" fontId="54" fillId="33" borderId="15" xfId="55" applyFont="1" applyFill="1" applyBorder="1" applyAlignment="1">
      <alignment horizontal="center" vertical="center"/>
      <protection/>
    </xf>
    <xf numFmtId="0" fontId="3" fillId="33" borderId="15" xfId="55" applyFont="1" applyFill="1" applyBorder="1" applyAlignment="1">
      <alignment horizontal="justify" vertical="justify" wrapText="1"/>
      <protection/>
    </xf>
    <xf numFmtId="0" fontId="3" fillId="33" borderId="15" xfId="55" applyFont="1" applyFill="1" applyBorder="1" applyAlignment="1">
      <alignment horizontal="center" vertical="center"/>
      <protection/>
    </xf>
    <xf numFmtId="179" fontId="3" fillId="33" borderId="15" xfId="53" applyNumberFormat="1" applyFont="1" applyFill="1" applyBorder="1" applyAlignment="1">
      <alignment horizontal="center" vertical="center" wrapText="1"/>
    </xf>
    <xf numFmtId="4" fontId="3" fillId="33" borderId="15" xfId="68" applyNumberFormat="1" applyFont="1" applyFill="1" applyBorder="1" applyAlignment="1">
      <alignment horizontal="center"/>
      <protection/>
    </xf>
    <xf numFmtId="44" fontId="5" fillId="33" borderId="23" xfId="53" applyFont="1" applyFill="1" applyBorder="1" applyAlignment="1">
      <alignment horizontal="right"/>
    </xf>
    <xf numFmtId="0" fontId="54" fillId="35" borderId="0" xfId="55" applyFont="1" applyFill="1">
      <alignment/>
      <protection/>
    </xf>
    <xf numFmtId="4" fontId="3" fillId="33" borderId="14" xfId="0" applyNumberFormat="1" applyFont="1" applyFill="1" applyBorder="1" applyAlignment="1">
      <alignment/>
    </xf>
    <xf numFmtId="4" fontId="3" fillId="33" borderId="14" xfId="56" applyNumberFormat="1" applyFont="1" applyFill="1" applyBorder="1" applyAlignment="1">
      <alignment horizontal="right"/>
      <protection/>
    </xf>
    <xf numFmtId="0" fontId="3" fillId="0" borderId="11" xfId="0" applyFont="1" applyFill="1" applyBorder="1" applyAlignment="1">
      <alignment horizontal="center"/>
    </xf>
    <xf numFmtId="0" fontId="3" fillId="0" borderId="12" xfId="0" applyFont="1" applyFill="1" applyBorder="1" applyAlignment="1">
      <alignment/>
    </xf>
    <xf numFmtId="0" fontId="3" fillId="0" borderId="12" xfId="0" applyFont="1" applyFill="1" applyBorder="1" applyAlignment="1">
      <alignment horizontal="justify" vertical="justify" wrapText="1"/>
    </xf>
    <xf numFmtId="4" fontId="3" fillId="0" borderId="18" xfId="56" applyNumberFormat="1" applyFont="1" applyFill="1" applyBorder="1" applyAlignment="1">
      <alignment horizontal="right"/>
      <protection/>
    </xf>
    <xf numFmtId="0" fontId="3" fillId="0" borderId="13"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justify" vertical="justify" wrapText="1"/>
    </xf>
    <xf numFmtId="4" fontId="3" fillId="0" borderId="19" xfId="56" applyNumberFormat="1" applyFont="1" applyFill="1" applyBorder="1" applyAlignment="1">
      <alignment horizontal="right"/>
      <protection/>
    </xf>
    <xf numFmtId="0" fontId="3" fillId="0" borderId="20" xfId="0" applyFont="1" applyFill="1" applyBorder="1" applyAlignment="1">
      <alignment horizontal="center"/>
    </xf>
    <xf numFmtId="0" fontId="3" fillId="0" borderId="21" xfId="0" applyFont="1" applyFill="1" applyBorder="1" applyAlignment="1">
      <alignment/>
    </xf>
    <xf numFmtId="0" fontId="3" fillId="0" borderId="21" xfId="0" applyFont="1" applyFill="1" applyBorder="1" applyAlignment="1">
      <alignment horizontal="justify" vertical="justify" wrapText="1"/>
    </xf>
    <xf numFmtId="4" fontId="3" fillId="0" borderId="22" xfId="56" applyNumberFormat="1" applyFont="1" applyFill="1" applyBorder="1" applyAlignment="1">
      <alignment horizontal="right"/>
      <protection/>
    </xf>
    <xf numFmtId="4" fontId="3" fillId="0" borderId="12" xfId="0" applyNumberFormat="1" applyFont="1" applyFill="1" applyBorder="1" applyAlignment="1">
      <alignment/>
    </xf>
    <xf numFmtId="0" fontId="86" fillId="35" borderId="0" xfId="55" applyFont="1" applyFill="1">
      <alignment/>
      <protection/>
    </xf>
    <xf numFmtId="0" fontId="86" fillId="35" borderId="0" xfId="55" applyFont="1" applyFill="1" applyBorder="1">
      <alignment/>
      <protection/>
    </xf>
    <xf numFmtId="0" fontId="87" fillId="0" borderId="0" xfId="0" applyFont="1" applyAlignment="1">
      <alignment/>
    </xf>
    <xf numFmtId="0" fontId="88" fillId="0" borderId="0" xfId="0" applyFont="1" applyAlignment="1">
      <alignment/>
    </xf>
    <xf numFmtId="0" fontId="3" fillId="33" borderId="21" xfId="0" applyFont="1" applyFill="1" applyBorder="1" applyAlignment="1">
      <alignment horizontal="center"/>
    </xf>
    <xf numFmtId="4" fontId="3" fillId="33" borderId="21" xfId="68" applyNumberFormat="1" applyFont="1" applyFill="1" applyBorder="1" applyAlignment="1">
      <alignment horizontal="right"/>
      <protection/>
    </xf>
    <xf numFmtId="0" fontId="79" fillId="33" borderId="13" xfId="0" applyFont="1" applyFill="1" applyBorder="1" applyAlignment="1">
      <alignment horizontal="center"/>
    </xf>
    <xf numFmtId="0" fontId="79" fillId="33" borderId="0" xfId="0" applyFont="1" applyFill="1" applyBorder="1" applyAlignment="1">
      <alignment horizontal="justify" vertical="justify" wrapText="1"/>
    </xf>
    <xf numFmtId="0" fontId="79" fillId="33" borderId="0" xfId="0" applyFont="1" applyFill="1" applyBorder="1" applyAlignment="1">
      <alignment/>
    </xf>
    <xf numFmtId="4" fontId="79" fillId="33" borderId="0" xfId="0" applyNumberFormat="1" applyFont="1" applyFill="1" applyBorder="1" applyAlignment="1">
      <alignment/>
    </xf>
    <xf numFmtId="4" fontId="5" fillId="33" borderId="0" xfId="68" applyNumberFormat="1" applyFont="1" applyFill="1" applyBorder="1" applyAlignment="1">
      <alignment horizontal="right"/>
      <protection/>
    </xf>
    <xf numFmtId="0" fontId="45" fillId="33" borderId="0" xfId="0" applyFont="1" applyFill="1" applyAlignment="1">
      <alignment/>
    </xf>
    <xf numFmtId="0" fontId="3" fillId="33" borderId="18" xfId="0" applyFont="1" applyFill="1" applyBorder="1" applyAlignment="1">
      <alignment/>
    </xf>
    <xf numFmtId="0" fontId="3" fillId="33" borderId="19" xfId="0" applyFont="1" applyFill="1" applyBorder="1" applyAlignment="1">
      <alignment/>
    </xf>
    <xf numFmtId="0" fontId="3" fillId="33" borderId="22" xfId="0" applyFont="1" applyFill="1" applyBorder="1" applyAlignment="1">
      <alignment/>
    </xf>
    <xf numFmtId="0" fontId="3" fillId="33" borderId="0" xfId="0" applyFont="1" applyFill="1" applyAlignment="1">
      <alignment/>
    </xf>
    <xf numFmtId="4" fontId="79" fillId="34" borderId="20" xfId="0" applyNumberFormat="1" applyFont="1" applyFill="1" applyBorder="1" applyAlignment="1">
      <alignment/>
    </xf>
    <xf numFmtId="0" fontId="79" fillId="34" borderId="20" xfId="0" applyFont="1" applyFill="1" applyBorder="1" applyAlignment="1">
      <alignment/>
    </xf>
    <xf numFmtId="4" fontId="3" fillId="34" borderId="11" xfId="56" applyNumberFormat="1" applyFont="1" applyFill="1" applyBorder="1" applyAlignment="1">
      <alignment horizontal="right"/>
      <protection/>
    </xf>
    <xf numFmtId="2" fontId="3" fillId="33" borderId="0" xfId="0" applyNumberFormat="1" applyFont="1" applyFill="1" applyBorder="1" applyAlignment="1">
      <alignment/>
    </xf>
    <xf numFmtId="180" fontId="3" fillId="33" borderId="0" xfId="0" applyNumberFormat="1" applyFont="1" applyFill="1" applyBorder="1" applyAlignment="1">
      <alignment/>
    </xf>
    <xf numFmtId="0" fontId="78" fillId="0" borderId="0" xfId="0" applyFont="1" applyBorder="1" applyAlignment="1">
      <alignment/>
    </xf>
    <xf numFmtId="2" fontId="3" fillId="33" borderId="13" xfId="0" applyNumberFormat="1" applyFont="1" applyFill="1" applyBorder="1" applyAlignment="1">
      <alignment/>
    </xf>
    <xf numFmtId="0" fontId="78" fillId="0" borderId="13" xfId="0" applyFont="1" applyBorder="1" applyAlignment="1">
      <alignment/>
    </xf>
    <xf numFmtId="0" fontId="0" fillId="0" borderId="13" xfId="0" applyBorder="1" applyAlignment="1">
      <alignment/>
    </xf>
    <xf numFmtId="0" fontId="81" fillId="0" borderId="13" xfId="0" applyFont="1" applyBorder="1" applyAlignment="1">
      <alignment/>
    </xf>
    <xf numFmtId="0" fontId="3" fillId="33" borderId="0" xfId="0" applyFont="1" applyFill="1" applyBorder="1" applyAlignment="1">
      <alignment horizontal="justify" vertical="center" wrapText="1"/>
    </xf>
    <xf numFmtId="0" fontId="3" fillId="33" borderId="12" xfId="0" applyFont="1" applyFill="1" applyBorder="1" applyAlignment="1">
      <alignment horizontal="justify" vertical="center" wrapText="1"/>
    </xf>
    <xf numFmtId="2" fontId="3" fillId="33" borderId="12" xfId="0" applyNumberFormat="1" applyFont="1" applyFill="1" applyBorder="1" applyAlignment="1">
      <alignment/>
    </xf>
    <xf numFmtId="2" fontId="3" fillId="33" borderId="18" xfId="0" applyNumberFormat="1" applyFont="1" applyFill="1" applyBorder="1" applyAlignment="1">
      <alignment/>
    </xf>
    <xf numFmtId="2" fontId="3" fillId="33" borderId="19" xfId="0" applyNumberFormat="1" applyFont="1" applyFill="1" applyBorder="1" applyAlignment="1">
      <alignment/>
    </xf>
    <xf numFmtId="0" fontId="3" fillId="33" borderId="21" xfId="0" applyFont="1" applyFill="1" applyBorder="1" applyAlignment="1">
      <alignment horizontal="justify" vertical="center" wrapText="1"/>
    </xf>
    <xf numFmtId="2" fontId="3" fillId="33" borderId="21" xfId="0" applyNumberFormat="1" applyFont="1" applyFill="1" applyBorder="1" applyAlignment="1">
      <alignment/>
    </xf>
    <xf numFmtId="2" fontId="3" fillId="33" borderId="22" xfId="0" applyNumberFormat="1" applyFont="1" applyFill="1" applyBorder="1" applyAlignment="1">
      <alignment/>
    </xf>
    <xf numFmtId="0" fontId="3" fillId="34" borderId="24" xfId="0" applyFont="1" applyFill="1" applyBorder="1" applyAlignment="1">
      <alignment horizontal="justify" vertical="center" wrapText="1"/>
    </xf>
    <xf numFmtId="2" fontId="3" fillId="34" borderId="15" xfId="0" applyNumberFormat="1" applyFont="1" applyFill="1" applyBorder="1" applyAlignment="1">
      <alignment/>
    </xf>
    <xf numFmtId="0" fontId="45" fillId="35" borderId="0" xfId="0" applyFont="1" applyFill="1" applyAlignment="1">
      <alignment/>
    </xf>
    <xf numFmtId="181" fontId="80" fillId="34" borderId="16" xfId="0" applyNumberFormat="1" applyFont="1" applyFill="1" applyBorder="1" applyAlignment="1">
      <alignment/>
    </xf>
    <xf numFmtId="4" fontId="3" fillId="33" borderId="21" xfId="0" applyNumberFormat="1" applyFont="1" applyFill="1" applyBorder="1" applyAlignment="1">
      <alignment/>
    </xf>
    <xf numFmtId="10" fontId="0" fillId="0" borderId="0" xfId="0" applyNumberFormat="1" applyAlignment="1">
      <alignment/>
    </xf>
    <xf numFmtId="171" fontId="3" fillId="33" borderId="18" xfId="56" applyNumberFormat="1" applyFont="1" applyFill="1" applyBorder="1" applyAlignment="1">
      <alignment horizontal="right"/>
      <protection/>
    </xf>
    <xf numFmtId="171" fontId="3" fillId="34" borderId="15" xfId="0" applyNumberFormat="1" applyFont="1" applyFill="1" applyBorder="1" applyAlignment="1">
      <alignment/>
    </xf>
    <xf numFmtId="0" fontId="3" fillId="0" borderId="15" xfId="59" applyFont="1" applyFill="1" applyBorder="1" applyAlignment="1">
      <alignment horizontal="center" vertical="center"/>
      <protection/>
    </xf>
    <xf numFmtId="0" fontId="54" fillId="0" borderId="15" xfId="55" applyFont="1" applyFill="1" applyBorder="1">
      <alignment/>
      <protection/>
    </xf>
    <xf numFmtId="0" fontId="3" fillId="0" borderId="15" xfId="59" applyFont="1" applyFill="1" applyBorder="1" applyAlignment="1">
      <alignment horizontal="left" vertical="justify" wrapText="1"/>
      <protection/>
    </xf>
    <xf numFmtId="0" fontId="3" fillId="0" borderId="15" xfId="59" applyFont="1" applyFill="1" applyBorder="1" applyAlignment="1">
      <alignment horizontal="center" wrapText="1"/>
      <protection/>
    </xf>
    <xf numFmtId="4" fontId="3" fillId="0" borderId="15" xfId="59" applyNumberFormat="1" applyFont="1" applyFill="1" applyBorder="1">
      <alignment/>
      <protection/>
    </xf>
    <xf numFmtId="4" fontId="3" fillId="0" borderId="15" xfId="59" applyNumberFormat="1" applyFont="1" applyFill="1" applyBorder="1" applyAlignment="1">
      <alignment wrapText="1"/>
      <protection/>
    </xf>
    <xf numFmtId="0" fontId="54" fillId="0" borderId="11" xfId="55" applyFont="1" applyFill="1" applyBorder="1">
      <alignment/>
      <protection/>
    </xf>
    <xf numFmtId="0" fontId="3" fillId="0" borderId="12" xfId="59" applyFont="1" applyFill="1" applyBorder="1" applyAlignment="1" quotePrefix="1">
      <alignment horizontal="center" vertical="center"/>
      <protection/>
    </xf>
    <xf numFmtId="0" fontId="3" fillId="0" borderId="12" xfId="59" applyFont="1" applyFill="1" applyBorder="1" applyAlignment="1">
      <alignment horizontal="left" vertical="justify" wrapText="1"/>
      <protection/>
    </xf>
    <xf numFmtId="0" fontId="3" fillId="0" borderId="12" xfId="59" applyFont="1" applyFill="1" applyBorder="1" applyAlignment="1">
      <alignment horizontal="center" wrapText="1"/>
      <protection/>
    </xf>
    <xf numFmtId="4" fontId="3" fillId="0" borderId="12" xfId="59" applyNumberFormat="1" applyFont="1" applyFill="1" applyBorder="1">
      <alignment/>
      <protection/>
    </xf>
    <xf numFmtId="0" fontId="54" fillId="0" borderId="18" xfId="55" applyFont="1" applyFill="1" applyBorder="1">
      <alignment/>
      <protection/>
    </xf>
    <xf numFmtId="0" fontId="16" fillId="0" borderId="0" xfId="62" applyFont="1">
      <alignment/>
      <protection/>
    </xf>
    <xf numFmtId="0" fontId="15" fillId="0" borderId="0" xfId="62">
      <alignment/>
      <protection/>
    </xf>
    <xf numFmtId="0" fontId="16" fillId="0" borderId="0" xfId="62" applyFont="1" applyBorder="1">
      <alignment/>
      <protection/>
    </xf>
    <xf numFmtId="4" fontId="16" fillId="0" borderId="0" xfId="62" applyNumberFormat="1" applyFont="1">
      <alignment/>
      <protection/>
    </xf>
    <xf numFmtId="0" fontId="17" fillId="0" borderId="0" xfId="62" applyFont="1">
      <alignment/>
      <protection/>
    </xf>
    <xf numFmtId="0" fontId="18" fillId="0" borderId="0" xfId="62" applyFont="1">
      <alignment/>
      <protection/>
    </xf>
    <xf numFmtId="0" fontId="19" fillId="0" borderId="0" xfId="62" applyFont="1">
      <alignment/>
      <protection/>
    </xf>
    <xf numFmtId="0" fontId="18" fillId="0" borderId="0" xfId="62" applyFont="1" applyBorder="1">
      <alignment/>
      <protection/>
    </xf>
    <xf numFmtId="191" fontId="18" fillId="0" borderId="0" xfId="62" applyNumberFormat="1" applyFont="1">
      <alignment/>
      <protection/>
    </xf>
    <xf numFmtId="0" fontId="20" fillId="0" borderId="25" xfId="66" applyFont="1" applyFill="1" applyBorder="1" applyAlignment="1">
      <alignment horizontal="center" vertical="center" wrapText="1"/>
      <protection/>
    </xf>
    <xf numFmtId="44" fontId="21" fillId="0" borderId="12" xfId="59" applyNumberFormat="1" applyFont="1" applyBorder="1" applyAlignment="1">
      <alignment horizontal="center" vertical="center" wrapText="1" readingOrder="1"/>
      <protection/>
    </xf>
    <xf numFmtId="0" fontId="22" fillId="0" borderId="18" xfId="62" applyFont="1" applyBorder="1">
      <alignment/>
      <protection/>
    </xf>
    <xf numFmtId="0" fontId="22" fillId="0" borderId="0" xfId="62" applyFont="1">
      <alignment/>
      <protection/>
    </xf>
    <xf numFmtId="44" fontId="21" fillId="0" borderId="0" xfId="59" applyNumberFormat="1" applyFont="1" applyBorder="1" applyAlignment="1">
      <alignment horizontal="center" vertical="center" wrapText="1" readingOrder="1"/>
      <protection/>
    </xf>
    <xf numFmtId="0" fontId="22" fillId="0" borderId="19" xfId="62" applyFont="1" applyBorder="1">
      <alignment/>
      <protection/>
    </xf>
    <xf numFmtId="4" fontId="89" fillId="0" borderId="0" xfId="59" applyNumberFormat="1" applyFont="1" applyFill="1" applyBorder="1" applyAlignment="1">
      <alignment horizontal="center" vertical="center" wrapText="1" readingOrder="1"/>
      <protection/>
    </xf>
    <xf numFmtId="0" fontId="22" fillId="0" borderId="0" xfId="66" applyFont="1" applyFill="1" applyBorder="1" applyAlignment="1">
      <alignment horizontal="center"/>
      <protection/>
    </xf>
    <xf numFmtId="4" fontId="89" fillId="0" borderId="0" xfId="59" applyNumberFormat="1" applyFont="1" applyFill="1" applyBorder="1" applyAlignment="1">
      <alignment horizontal="center" vertical="center" wrapText="1"/>
      <protection/>
    </xf>
    <xf numFmtId="4" fontId="89" fillId="0" borderId="0" xfId="66" applyNumberFormat="1" applyFont="1" applyFill="1" applyBorder="1" applyAlignment="1">
      <alignment horizontal="center" vertical="center" wrapText="1"/>
      <protection/>
    </xf>
    <xf numFmtId="4" fontId="89" fillId="0" borderId="21" xfId="66" applyNumberFormat="1" applyFont="1" applyFill="1" applyBorder="1" applyAlignment="1">
      <alignment horizontal="center" vertical="center" wrapText="1"/>
      <protection/>
    </xf>
    <xf numFmtId="0" fontId="22" fillId="0" borderId="22" xfId="62" applyFont="1" applyBorder="1">
      <alignment/>
      <protection/>
    </xf>
    <xf numFmtId="0" fontId="20" fillId="0" borderId="14" xfId="66" applyFont="1" applyFill="1" applyBorder="1" applyAlignment="1">
      <alignment horizontal="center" vertical="center" wrapText="1"/>
      <protection/>
    </xf>
    <xf numFmtId="0" fontId="20" fillId="0" borderId="25" xfId="62" applyFont="1" applyBorder="1" applyAlignment="1">
      <alignment horizontal="center"/>
      <protection/>
    </xf>
    <xf numFmtId="0" fontId="20" fillId="0" borderId="14" xfId="62" applyFont="1" applyBorder="1" applyAlignment="1">
      <alignment horizontal="center"/>
      <protection/>
    </xf>
    <xf numFmtId="0" fontId="20" fillId="0" borderId="25" xfId="63" applyFont="1" applyFill="1" applyBorder="1" applyAlignment="1">
      <alignment vertical="top"/>
      <protection/>
    </xf>
    <xf numFmtId="39" fontId="22" fillId="0" borderId="25" xfId="62" applyNumberFormat="1" applyFont="1" applyBorder="1" applyAlignment="1">
      <alignment/>
      <protection/>
    </xf>
    <xf numFmtId="0" fontId="20" fillId="0" borderId="14" xfId="65" applyFont="1" applyFill="1" applyBorder="1" applyAlignment="1">
      <alignment vertical="top"/>
      <protection/>
    </xf>
    <xf numFmtId="0" fontId="22" fillId="0" borderId="14" xfId="65" applyFont="1" applyFill="1" applyBorder="1" applyAlignment="1">
      <alignment horizontal="left" vertical="top"/>
      <protection/>
    </xf>
    <xf numFmtId="10" fontId="22" fillId="0" borderId="14" xfId="71" applyNumberFormat="1" applyFont="1" applyFill="1" applyBorder="1" applyAlignment="1">
      <alignment/>
    </xf>
    <xf numFmtId="4" fontId="22" fillId="0" borderId="14" xfId="62" applyNumberFormat="1" applyFont="1" applyFill="1" applyBorder="1" applyAlignment="1">
      <alignment/>
      <protection/>
    </xf>
    <xf numFmtId="10" fontId="22" fillId="0" borderId="14" xfId="62" applyNumberFormat="1" applyFont="1" applyFill="1" applyBorder="1" applyAlignment="1">
      <alignment/>
      <protection/>
    </xf>
    <xf numFmtId="4" fontId="20" fillId="0" borderId="14" xfId="56" applyNumberFormat="1" applyFont="1" applyFill="1" applyBorder="1" applyAlignment="1">
      <alignment horizontal="right"/>
      <protection/>
    </xf>
    <xf numFmtId="39" fontId="22" fillId="0" borderId="0" xfId="62" applyNumberFormat="1" applyFont="1">
      <alignment/>
      <protection/>
    </xf>
    <xf numFmtId="0" fontId="22" fillId="0" borderId="14" xfId="65" applyFont="1" applyFill="1" applyBorder="1" applyAlignment="1">
      <alignment horizontal="justify" vertical="justify" wrapText="1"/>
      <protection/>
    </xf>
    <xf numFmtId="10" fontId="22" fillId="34" borderId="14" xfId="62" applyNumberFormat="1" applyFont="1" applyFill="1" applyBorder="1" applyAlignment="1">
      <alignment/>
      <protection/>
    </xf>
    <xf numFmtId="4" fontId="22" fillId="34" borderId="14" xfId="62" applyNumberFormat="1" applyFont="1" applyFill="1" applyBorder="1" applyAlignment="1">
      <alignment/>
      <protection/>
    </xf>
    <xf numFmtId="10" fontId="22" fillId="33" borderId="14" xfId="71" applyNumberFormat="1" applyFont="1" applyFill="1" applyBorder="1" applyAlignment="1">
      <alignment/>
    </xf>
    <xf numFmtId="10" fontId="22" fillId="34" borderId="14" xfId="71" applyNumberFormat="1" applyFont="1" applyFill="1" applyBorder="1" applyAlignment="1">
      <alignment/>
    </xf>
    <xf numFmtId="0" fontId="23" fillId="0" borderId="14" xfId="65" applyFont="1" applyBorder="1" applyAlignment="1">
      <alignment vertical="top"/>
      <protection/>
    </xf>
    <xf numFmtId="0" fontId="23" fillId="0" borderId="14" xfId="65" applyFont="1" applyBorder="1" applyAlignment="1">
      <alignment horizontal="left" vertical="top"/>
      <protection/>
    </xf>
    <xf numFmtId="10" fontId="24" fillId="0" borderId="14" xfId="71" applyNumberFormat="1" applyFont="1" applyBorder="1" applyAlignment="1" quotePrefix="1">
      <alignment/>
    </xf>
    <xf numFmtId="39" fontId="24" fillId="0" borderId="14" xfId="62" applyNumberFormat="1" applyFont="1" applyBorder="1" applyAlignment="1">
      <alignment/>
      <protection/>
    </xf>
    <xf numFmtId="10" fontId="24" fillId="0" borderId="14" xfId="62" applyNumberFormat="1" applyFont="1" applyBorder="1" applyAlignment="1">
      <alignment/>
      <protection/>
    </xf>
    <xf numFmtId="10" fontId="24" fillId="0" borderId="14" xfId="62" applyNumberFormat="1" applyFont="1" applyFill="1" applyBorder="1" applyAlignment="1">
      <alignment/>
      <protection/>
    </xf>
    <xf numFmtId="4" fontId="20" fillId="0" borderId="14" xfId="56" applyNumberFormat="1" applyFont="1" applyBorder="1">
      <alignment/>
      <protection/>
    </xf>
    <xf numFmtId="4" fontId="22" fillId="36" borderId="15" xfId="56" applyNumberFormat="1" applyFont="1" applyFill="1" applyBorder="1">
      <alignment/>
      <protection/>
    </xf>
    <xf numFmtId="0" fontId="22" fillId="36" borderId="16" xfId="56" applyFont="1" applyFill="1" applyBorder="1">
      <alignment/>
      <protection/>
    </xf>
    <xf numFmtId="172" fontId="20" fillId="36" borderId="16" xfId="71" applyNumberFormat="1" applyFont="1" applyFill="1" applyBorder="1" applyAlignment="1">
      <alignment horizontal="center"/>
    </xf>
    <xf numFmtId="0" fontId="22" fillId="36" borderId="17" xfId="62" applyFont="1" applyFill="1" applyBorder="1">
      <alignment/>
      <protection/>
    </xf>
    <xf numFmtId="0" fontId="20" fillId="0" borderId="15" xfId="62" applyFont="1" applyBorder="1" applyAlignment="1">
      <alignment horizontal="center" vertical="center"/>
      <protection/>
    </xf>
    <xf numFmtId="0" fontId="20" fillId="0" borderId="18" xfId="62" applyFont="1" applyBorder="1" applyAlignment="1">
      <alignment horizontal="center" vertical="center"/>
      <protection/>
    </xf>
    <xf numFmtId="4" fontId="20" fillId="0" borderId="25" xfId="64" applyNumberFormat="1" applyFont="1" applyBorder="1" applyAlignment="1">
      <alignment horizontal="center"/>
      <protection/>
    </xf>
    <xf numFmtId="39" fontId="20" fillId="0" borderId="25" xfId="62" applyNumberFormat="1" applyFont="1" applyBorder="1" applyAlignment="1">
      <alignment horizontal="center"/>
      <protection/>
    </xf>
    <xf numFmtId="10" fontId="20" fillId="0" borderId="25" xfId="71" applyNumberFormat="1" applyFont="1" applyBorder="1" applyAlignment="1">
      <alignment horizontal="center"/>
    </xf>
    <xf numFmtId="0" fontId="20" fillId="0" borderId="12" xfId="62" applyFont="1" applyBorder="1" applyAlignment="1">
      <alignment horizontal="center"/>
      <protection/>
    </xf>
    <xf numFmtId="4" fontId="20" fillId="0" borderId="14" xfId="62" applyNumberFormat="1" applyFont="1" applyFill="1" applyBorder="1" applyAlignment="1">
      <alignment/>
      <protection/>
    </xf>
    <xf numFmtId="0" fontId="84" fillId="0" borderId="0" xfId="0" applyFont="1" applyAlignment="1">
      <alignment horizontal="left"/>
    </xf>
    <xf numFmtId="0" fontId="5" fillId="33" borderId="14" xfId="0" applyFont="1" applyFill="1" applyBorder="1" applyAlignment="1">
      <alignment/>
    </xf>
    <xf numFmtId="0" fontId="47" fillId="0" borderId="14" xfId="0" applyFont="1" applyBorder="1" applyAlignment="1">
      <alignment horizontal="left"/>
    </xf>
    <xf numFmtId="181" fontId="3" fillId="33" borderId="14" xfId="0" applyNumberFormat="1" applyFont="1" applyFill="1" applyBorder="1" applyAlignment="1">
      <alignment horizontal="center"/>
    </xf>
    <xf numFmtId="181" fontId="3" fillId="33" borderId="14" xfId="56" applyNumberFormat="1" applyFont="1" applyFill="1" applyBorder="1" applyAlignment="1">
      <alignment horizontal="center"/>
      <protection/>
    </xf>
    <xf numFmtId="181" fontId="45" fillId="0" borderId="14" xfId="0" applyNumberFormat="1" applyFont="1" applyBorder="1" applyAlignment="1">
      <alignment horizontal="center"/>
    </xf>
    <xf numFmtId="0" fontId="86" fillId="33" borderId="13" xfId="0" applyFont="1" applyFill="1" applyBorder="1" applyAlignment="1">
      <alignment horizontal="center"/>
    </xf>
    <xf numFmtId="0" fontId="86" fillId="33" borderId="0" xfId="0" applyFont="1" applyFill="1" applyBorder="1" applyAlignment="1">
      <alignment/>
    </xf>
    <xf numFmtId="0" fontId="86" fillId="33" borderId="0" xfId="0" applyFont="1" applyFill="1" applyBorder="1" applyAlignment="1">
      <alignment horizontal="justify" vertical="justify" wrapText="1"/>
    </xf>
    <xf numFmtId="0" fontId="83" fillId="33" borderId="0" xfId="0" applyFont="1" applyFill="1" applyBorder="1" applyAlignment="1">
      <alignment/>
    </xf>
    <xf numFmtId="0" fontId="3" fillId="33" borderId="0" xfId="0" applyFont="1" applyFill="1" applyBorder="1" applyAlignment="1">
      <alignment horizontal="right"/>
    </xf>
    <xf numFmtId="4" fontId="3" fillId="33" borderId="19" xfId="56" applyNumberFormat="1" applyFont="1" applyFill="1" applyBorder="1" applyAlignment="1">
      <alignment horizontal="center"/>
      <protection/>
    </xf>
    <xf numFmtId="0" fontId="82" fillId="0" borderId="0" xfId="0" applyFont="1" applyAlignment="1">
      <alignment horizontal="left"/>
    </xf>
    <xf numFmtId="49" fontId="90" fillId="33" borderId="11" xfId="65" applyNumberFormat="1" applyFont="1" applyFill="1" applyBorder="1" applyAlignment="1">
      <alignment horizontal="center"/>
      <protection/>
    </xf>
    <xf numFmtId="49" fontId="90" fillId="33" borderId="12" xfId="59" applyNumberFormat="1" applyFont="1" applyFill="1" applyBorder="1" applyAlignment="1">
      <alignment horizontal="center"/>
      <protection/>
    </xf>
    <xf numFmtId="4" fontId="90" fillId="33" borderId="12" xfId="59" applyNumberFormat="1" applyFont="1" applyFill="1" applyBorder="1" applyAlignment="1">
      <alignment horizontal="left" readingOrder="1"/>
      <protection/>
    </xf>
    <xf numFmtId="4" fontId="90" fillId="33" borderId="12" xfId="0" applyNumberFormat="1" applyFont="1" applyFill="1" applyBorder="1" applyAlignment="1">
      <alignment horizontal="left"/>
    </xf>
    <xf numFmtId="4" fontId="90" fillId="33" borderId="12" xfId="65" applyNumberFormat="1" applyFont="1" applyFill="1" applyBorder="1" applyAlignment="1">
      <alignment horizontal="left"/>
      <protection/>
    </xf>
    <xf numFmtId="4" fontId="90" fillId="33" borderId="18" xfId="65" applyNumberFormat="1" applyFont="1" applyFill="1" applyBorder="1" applyAlignment="1">
      <alignment horizontal="left"/>
      <protection/>
    </xf>
    <xf numFmtId="0" fontId="89" fillId="0" borderId="0" xfId="0" applyFont="1" applyAlignment="1">
      <alignment/>
    </xf>
    <xf numFmtId="49" fontId="90" fillId="33" borderId="13" xfId="65" applyNumberFormat="1" applyFont="1" applyFill="1" applyBorder="1" applyAlignment="1">
      <alignment horizontal="center"/>
      <protection/>
    </xf>
    <xf numFmtId="49" fontId="90" fillId="33" borderId="0" xfId="59" applyNumberFormat="1" applyFont="1" applyFill="1" applyBorder="1" applyAlignment="1">
      <alignment horizontal="center"/>
      <protection/>
    </xf>
    <xf numFmtId="4" fontId="90" fillId="33" borderId="0" xfId="59" applyNumberFormat="1" applyFont="1" applyFill="1" applyBorder="1" applyAlignment="1">
      <alignment horizontal="left" readingOrder="1"/>
      <protection/>
    </xf>
    <xf numFmtId="4" fontId="90" fillId="33" borderId="0" xfId="66" applyNumberFormat="1" applyFont="1" applyFill="1" applyBorder="1" applyAlignment="1">
      <alignment horizontal="left" vertical="center"/>
      <protection/>
    </xf>
    <xf numFmtId="4" fontId="90" fillId="33" borderId="0" xfId="59" applyNumberFormat="1" applyFont="1" applyFill="1" applyBorder="1" applyAlignment="1">
      <alignment horizontal="left"/>
      <protection/>
    </xf>
    <xf numFmtId="4" fontId="90" fillId="33" borderId="19" xfId="59" applyNumberFormat="1" applyFont="1" applyFill="1" applyBorder="1" applyAlignment="1">
      <alignment horizontal="left"/>
      <protection/>
    </xf>
    <xf numFmtId="4" fontId="89" fillId="33" borderId="0" xfId="59" applyNumberFormat="1" applyFont="1" applyFill="1" applyBorder="1" applyAlignment="1">
      <alignment vertical="center" wrapText="1" readingOrder="1"/>
      <protection/>
    </xf>
    <xf numFmtId="4" fontId="22" fillId="33" borderId="0" xfId="59" applyNumberFormat="1" applyFont="1" applyFill="1" applyBorder="1" applyAlignment="1">
      <alignment vertical="center" wrapText="1" readingOrder="1"/>
      <protection/>
    </xf>
    <xf numFmtId="4" fontId="90" fillId="33" borderId="0" xfId="59" applyNumberFormat="1" applyFont="1" applyFill="1" applyBorder="1">
      <alignment/>
      <protection/>
    </xf>
    <xf numFmtId="4" fontId="89" fillId="33" borderId="0" xfId="66" applyNumberFormat="1" applyFont="1" applyFill="1" applyBorder="1" applyAlignment="1">
      <alignment horizontal="left"/>
      <protection/>
    </xf>
    <xf numFmtId="49" fontId="90" fillId="33" borderId="20" xfId="65" applyNumberFormat="1" applyFont="1" applyFill="1" applyBorder="1" applyAlignment="1">
      <alignment horizontal="center"/>
      <protection/>
    </xf>
    <xf numFmtId="49" fontId="90" fillId="33" borderId="21" xfId="66" applyNumberFormat="1" applyFont="1" applyFill="1" applyBorder="1" applyAlignment="1">
      <alignment horizontal="center"/>
      <protection/>
    </xf>
    <xf numFmtId="4" fontId="89" fillId="33" borderId="21" xfId="66" applyNumberFormat="1" applyFont="1" applyFill="1" applyBorder="1" applyAlignment="1">
      <alignment/>
      <protection/>
    </xf>
    <xf numFmtId="0" fontId="22" fillId="0" borderId="0" xfId="0" applyFont="1" applyAlignment="1">
      <alignment/>
    </xf>
    <xf numFmtId="0" fontId="22" fillId="0" borderId="0" xfId="0" applyFont="1" applyBorder="1" applyAlignment="1">
      <alignment/>
    </xf>
    <xf numFmtId="0" fontId="20" fillId="0" borderId="14" xfId="0" applyFont="1" applyFill="1" applyBorder="1" applyAlignment="1">
      <alignment horizontal="center" vertical="center"/>
    </xf>
    <xf numFmtId="0" fontId="90" fillId="0" borderId="0" xfId="0" applyFont="1" applyAlignment="1">
      <alignment/>
    </xf>
    <xf numFmtId="0" fontId="90" fillId="0" borderId="0" xfId="0" applyFont="1" applyBorder="1" applyAlignment="1">
      <alignment/>
    </xf>
    <xf numFmtId="4" fontId="20" fillId="0" borderId="14" xfId="0" applyNumberFormat="1" applyFont="1" applyFill="1" applyBorder="1" applyAlignment="1">
      <alignment horizontal="center" vertical="center"/>
    </xf>
    <xf numFmtId="0" fontId="90" fillId="34" borderId="14" xfId="0" applyFont="1" applyFill="1" applyBorder="1" applyAlignment="1">
      <alignment horizontal="center"/>
    </xf>
    <xf numFmtId="0" fontId="90" fillId="34" borderId="14" xfId="0" applyFont="1" applyFill="1" applyBorder="1" applyAlignment="1">
      <alignment horizontal="justify" vertical="center" wrapText="1"/>
    </xf>
    <xf numFmtId="0" fontId="90" fillId="34" borderId="14" xfId="0" applyFont="1" applyFill="1" applyBorder="1" applyAlignment="1">
      <alignment/>
    </xf>
    <xf numFmtId="4" fontId="20" fillId="34" borderId="14" xfId="56" applyNumberFormat="1" applyFont="1" applyFill="1" applyBorder="1" applyAlignment="1">
      <alignment horizontal="right"/>
      <protection/>
    </xf>
    <xf numFmtId="0" fontId="89" fillId="33" borderId="14" xfId="0" applyFont="1" applyFill="1" applyBorder="1" applyAlignment="1">
      <alignment horizontal="center"/>
    </xf>
    <xf numFmtId="0" fontId="89" fillId="33" borderId="14" xfId="0" applyFont="1" applyFill="1" applyBorder="1" applyAlignment="1">
      <alignment horizontal="justify" vertical="center" wrapText="1"/>
    </xf>
    <xf numFmtId="180" fontId="89" fillId="33" borderId="14" xfId="0" applyNumberFormat="1" applyFont="1" applyFill="1" applyBorder="1" applyAlignment="1">
      <alignment/>
    </xf>
    <xf numFmtId="4" fontId="89" fillId="33" borderId="14" xfId="0" applyNumberFormat="1" applyFont="1" applyFill="1" applyBorder="1" applyAlignment="1">
      <alignment/>
    </xf>
    <xf numFmtId="4" fontId="22" fillId="33" borderId="14" xfId="56" applyNumberFormat="1" applyFont="1" applyFill="1" applyBorder="1" applyAlignment="1">
      <alignment horizontal="right"/>
      <protection/>
    </xf>
    <xf numFmtId="0" fontId="91" fillId="33" borderId="0" xfId="0" applyFont="1" applyFill="1" applyAlignment="1">
      <alignment/>
    </xf>
    <xf numFmtId="4" fontId="89" fillId="33" borderId="0" xfId="0" applyNumberFormat="1" applyFont="1" applyFill="1" applyBorder="1" applyAlignment="1">
      <alignment/>
    </xf>
    <xf numFmtId="0" fontId="89" fillId="33" borderId="0" xfId="0" applyFont="1" applyFill="1" applyAlignment="1">
      <alignment/>
    </xf>
    <xf numFmtId="2" fontId="89" fillId="33" borderId="14" xfId="0" applyNumberFormat="1" applyFont="1" applyFill="1" applyBorder="1" applyAlignment="1">
      <alignment/>
    </xf>
    <xf numFmtId="0" fontId="89" fillId="33" borderId="0" xfId="0" applyFont="1" applyFill="1" applyBorder="1" applyAlignment="1">
      <alignment/>
    </xf>
    <xf numFmtId="180" fontId="22" fillId="33" borderId="14" xfId="0" applyNumberFormat="1" applyFont="1" applyFill="1" applyBorder="1" applyAlignment="1">
      <alignment/>
    </xf>
    <xf numFmtId="0" fontId="89" fillId="33" borderId="14" xfId="0" applyFont="1" applyFill="1" applyBorder="1" applyAlignment="1">
      <alignment horizontal="center" vertical="justify" wrapText="1"/>
    </xf>
    <xf numFmtId="0" fontId="22" fillId="33" borderId="14" xfId="0" applyFont="1" applyFill="1" applyBorder="1" applyAlignment="1">
      <alignment horizontal="center"/>
    </xf>
    <xf numFmtId="0" fontId="22" fillId="33" borderId="14" xfId="0" applyFont="1" applyFill="1" applyBorder="1" applyAlignment="1">
      <alignment horizontal="center" vertical="justify" wrapText="1"/>
    </xf>
    <xf numFmtId="0" fontId="22" fillId="33" borderId="14" xfId="0" applyFont="1" applyFill="1" applyBorder="1" applyAlignment="1">
      <alignment horizontal="justify" vertical="center" wrapText="1"/>
    </xf>
    <xf numFmtId="0" fontId="89" fillId="33" borderId="15" xfId="0" applyFont="1" applyFill="1" applyBorder="1" applyAlignment="1">
      <alignment horizontal="center"/>
    </xf>
    <xf numFmtId="0" fontId="89" fillId="33" borderId="15" xfId="0" applyFont="1" applyFill="1" applyBorder="1" applyAlignment="1">
      <alignment horizontal="center" vertical="justify" wrapText="1"/>
    </xf>
    <xf numFmtId="0" fontId="89" fillId="33" borderId="15" xfId="0" applyFont="1" applyFill="1" applyBorder="1" applyAlignment="1">
      <alignment horizontal="justify" vertical="center" wrapText="1"/>
    </xf>
    <xf numFmtId="2" fontId="89" fillId="33" borderId="15" xfId="0" applyNumberFormat="1" applyFont="1" applyFill="1" applyBorder="1" applyAlignment="1">
      <alignment/>
    </xf>
    <xf numFmtId="0" fontId="91" fillId="33" borderId="0" xfId="0" applyFont="1" applyFill="1" applyAlignment="1">
      <alignment horizontal="justify" vertical="justify" wrapText="1"/>
    </xf>
    <xf numFmtId="0" fontId="92" fillId="33" borderId="0" xfId="0" applyFont="1" applyFill="1" applyAlignment="1">
      <alignment/>
    </xf>
    <xf numFmtId="0" fontId="22" fillId="33" borderId="17" xfId="0" applyFont="1" applyFill="1" applyBorder="1" applyAlignment="1">
      <alignment horizontal="center"/>
    </xf>
    <xf numFmtId="0" fontId="89" fillId="33" borderId="17" xfId="0" applyFont="1" applyFill="1" applyBorder="1" applyAlignment="1">
      <alignment horizontal="justify" vertical="center" wrapText="1"/>
    </xf>
    <xf numFmtId="2" fontId="89" fillId="33" borderId="17" xfId="0" applyNumberFormat="1" applyFont="1" applyFill="1" applyBorder="1" applyAlignment="1">
      <alignment/>
    </xf>
    <xf numFmtId="0" fontId="22" fillId="34" borderId="17" xfId="0" applyFont="1" applyFill="1" applyBorder="1" applyAlignment="1">
      <alignment horizontal="center"/>
    </xf>
    <xf numFmtId="0" fontId="22" fillId="34" borderId="17" xfId="0" applyFont="1" applyFill="1" applyBorder="1" applyAlignment="1">
      <alignment horizontal="justify" vertical="center" wrapText="1"/>
    </xf>
    <xf numFmtId="180" fontId="20" fillId="34" borderId="17" xfId="0" applyNumberFormat="1" applyFont="1" applyFill="1" applyBorder="1" applyAlignment="1">
      <alignment/>
    </xf>
    <xf numFmtId="0" fontId="90" fillId="34" borderId="17" xfId="0" applyFont="1" applyFill="1" applyBorder="1" applyAlignment="1">
      <alignment horizontal="right"/>
    </xf>
    <xf numFmtId="4" fontId="90" fillId="34" borderId="17" xfId="0" applyNumberFormat="1" applyFont="1" applyFill="1" applyBorder="1" applyAlignment="1">
      <alignment/>
    </xf>
    <xf numFmtId="0" fontId="89" fillId="34" borderId="0" xfId="0" applyFont="1" applyFill="1" applyAlignment="1">
      <alignment/>
    </xf>
    <xf numFmtId="0" fontId="89" fillId="34" borderId="0" xfId="0" applyFont="1" applyFill="1" applyBorder="1" applyAlignment="1">
      <alignment/>
    </xf>
    <xf numFmtId="0" fontId="20" fillId="34" borderId="14" xfId="0" applyFont="1" applyFill="1" applyBorder="1" applyAlignment="1">
      <alignment horizontal="center"/>
    </xf>
    <xf numFmtId="0" fontId="20" fillId="34" borderId="14" xfId="0" applyFont="1" applyFill="1" applyBorder="1" applyAlignment="1">
      <alignment horizontal="justify" vertical="center" wrapText="1"/>
    </xf>
    <xf numFmtId="180" fontId="20" fillId="34" borderId="14" xfId="0" applyNumberFormat="1" applyFont="1" applyFill="1" applyBorder="1" applyAlignment="1">
      <alignment/>
    </xf>
    <xf numFmtId="0" fontId="90" fillId="34" borderId="0" xfId="0" applyFont="1" applyFill="1" applyAlignment="1">
      <alignment/>
    </xf>
    <xf numFmtId="0" fontId="90" fillId="34" borderId="0" xfId="0" applyFont="1" applyFill="1" applyBorder="1" applyAlignment="1">
      <alignment/>
    </xf>
    <xf numFmtId="0" fontId="22" fillId="33" borderId="0" xfId="0" applyFont="1" applyFill="1" applyAlignment="1">
      <alignment/>
    </xf>
    <xf numFmtId="0" fontId="22" fillId="33" borderId="0" xfId="0" applyFont="1" applyFill="1" applyBorder="1" applyAlignment="1">
      <alignment/>
    </xf>
    <xf numFmtId="180" fontId="90" fillId="34" borderId="14" xfId="0" applyNumberFormat="1" applyFont="1" applyFill="1" applyBorder="1" applyAlignment="1">
      <alignment/>
    </xf>
    <xf numFmtId="0" fontId="90" fillId="34" borderId="14" xfId="0" applyFont="1" applyFill="1" applyBorder="1" applyAlignment="1">
      <alignment horizontal="right"/>
    </xf>
    <xf numFmtId="4" fontId="90" fillId="34" borderId="14" xfId="0" applyNumberFormat="1" applyFont="1" applyFill="1" applyBorder="1" applyAlignment="1">
      <alignment/>
    </xf>
    <xf numFmtId="0" fontId="22" fillId="34" borderId="0" xfId="0" applyFont="1" applyFill="1" applyAlignment="1">
      <alignment/>
    </xf>
    <xf numFmtId="0" fontId="22" fillId="34" borderId="0" xfId="0" applyFont="1" applyFill="1" applyBorder="1" applyAlignment="1">
      <alignment/>
    </xf>
    <xf numFmtId="0" fontId="89" fillId="33" borderId="17" xfId="0" applyFont="1" applyFill="1" applyBorder="1" applyAlignment="1">
      <alignment horizontal="center" vertical="justify" wrapText="1"/>
    </xf>
    <xf numFmtId="0" fontId="89" fillId="33" borderId="17" xfId="0" applyFont="1" applyFill="1" applyBorder="1" applyAlignment="1">
      <alignment horizontal="center"/>
    </xf>
    <xf numFmtId="4" fontId="90" fillId="33" borderId="0" xfId="0" applyNumberFormat="1" applyFont="1" applyFill="1" applyAlignment="1">
      <alignment horizontal="center"/>
    </xf>
    <xf numFmtId="4" fontId="90" fillId="33" borderId="0" xfId="0" applyNumberFormat="1" applyFont="1" applyFill="1" applyBorder="1" applyAlignment="1">
      <alignment/>
    </xf>
    <xf numFmtId="4" fontId="90" fillId="33" borderId="0" xfId="0" applyNumberFormat="1" applyFont="1" applyFill="1" applyAlignment="1">
      <alignment/>
    </xf>
    <xf numFmtId="0" fontId="90" fillId="33" borderId="0" xfId="0" applyFont="1" applyFill="1" applyAlignment="1">
      <alignment/>
    </xf>
    <xf numFmtId="2" fontId="22" fillId="33" borderId="14" xfId="0" applyNumberFormat="1" applyFont="1" applyFill="1" applyBorder="1" applyAlignment="1">
      <alignment/>
    </xf>
    <xf numFmtId="0" fontId="89" fillId="33" borderId="15" xfId="0" applyFont="1" applyFill="1" applyBorder="1" applyAlignment="1">
      <alignment/>
    </xf>
    <xf numFmtId="180" fontId="20" fillId="33" borderId="14" xfId="0" applyNumberFormat="1" applyFont="1" applyFill="1" applyBorder="1" applyAlignment="1">
      <alignment/>
    </xf>
    <xf numFmtId="0" fontId="90" fillId="33" borderId="0" xfId="0" applyFont="1" applyFill="1" applyBorder="1" applyAlignment="1">
      <alignment/>
    </xf>
    <xf numFmtId="0" fontId="89" fillId="33" borderId="19" xfId="0" applyFont="1" applyFill="1" applyBorder="1" applyAlignment="1">
      <alignment/>
    </xf>
    <xf numFmtId="0" fontId="92" fillId="33" borderId="0" xfId="0" applyFont="1" applyFill="1" applyBorder="1" applyAlignment="1">
      <alignment/>
    </xf>
    <xf numFmtId="0" fontId="22" fillId="33" borderId="16" xfId="0" applyFont="1" applyFill="1" applyBorder="1" applyAlignment="1">
      <alignment horizontal="center"/>
    </xf>
    <xf numFmtId="0" fontId="22" fillId="33" borderId="16" xfId="0" applyFont="1" applyFill="1" applyBorder="1" applyAlignment="1">
      <alignment horizontal="justify" vertical="center" wrapText="1"/>
    </xf>
    <xf numFmtId="0" fontId="22" fillId="33" borderId="16" xfId="0" applyFont="1" applyFill="1" applyBorder="1" applyAlignment="1">
      <alignment/>
    </xf>
    <xf numFmtId="0" fontId="22" fillId="33" borderId="0" xfId="0" applyFont="1" applyFill="1" applyBorder="1" applyAlignment="1">
      <alignment horizontal="justify" vertical="center" wrapText="1"/>
    </xf>
    <xf numFmtId="0" fontId="22" fillId="33" borderId="15" xfId="0" applyFont="1" applyFill="1" applyBorder="1" applyAlignment="1">
      <alignment horizontal="center"/>
    </xf>
    <xf numFmtId="0" fontId="22" fillId="33" borderId="11" xfId="0" applyFont="1" applyFill="1" applyBorder="1" applyAlignment="1">
      <alignment horizontal="center"/>
    </xf>
    <xf numFmtId="0" fontId="22" fillId="33" borderId="15" xfId="0" applyFont="1" applyFill="1" applyBorder="1" applyAlignment="1">
      <alignment horizontal="justify" vertical="center" wrapText="1"/>
    </xf>
    <xf numFmtId="0" fontId="22" fillId="33" borderId="18" xfId="0" applyFont="1" applyFill="1" applyBorder="1" applyAlignment="1">
      <alignment horizontal="center"/>
    </xf>
    <xf numFmtId="180" fontId="22" fillId="33" borderId="15" xfId="0" applyNumberFormat="1" applyFont="1" applyFill="1" applyBorder="1" applyAlignment="1">
      <alignment/>
    </xf>
    <xf numFmtId="2" fontId="22" fillId="33" borderId="15" xfId="0" applyNumberFormat="1" applyFont="1" applyFill="1" applyBorder="1" applyAlignment="1">
      <alignment/>
    </xf>
    <xf numFmtId="0" fontId="22" fillId="34" borderId="14" xfId="0" applyFont="1" applyFill="1" applyBorder="1" applyAlignment="1">
      <alignment horizontal="center"/>
    </xf>
    <xf numFmtId="0" fontId="22" fillId="34" borderId="14" xfId="0" applyFont="1" applyFill="1" applyBorder="1" applyAlignment="1">
      <alignment horizontal="justify" vertical="center" wrapText="1"/>
    </xf>
    <xf numFmtId="2" fontId="91" fillId="34" borderId="0" xfId="0" applyNumberFormat="1" applyFont="1" applyFill="1" applyAlignment="1">
      <alignment horizontal="justify" vertical="justify" wrapText="1"/>
    </xf>
    <xf numFmtId="0" fontId="92" fillId="34" borderId="0" xfId="0" applyFont="1" applyFill="1" applyBorder="1" applyAlignment="1">
      <alignment/>
    </xf>
    <xf numFmtId="0" fontId="92" fillId="34" borderId="0" xfId="0" applyFont="1" applyFill="1" applyAlignment="1">
      <alignment/>
    </xf>
    <xf numFmtId="0" fontId="20" fillId="34" borderId="14" xfId="68" applyFont="1" applyFill="1" applyBorder="1" applyAlignment="1">
      <alignment horizontal="center" vertical="center"/>
      <protection/>
    </xf>
    <xf numFmtId="0" fontId="20" fillId="34" borderId="14" xfId="68" applyFont="1" applyFill="1" applyBorder="1" applyAlignment="1">
      <alignment horizontal="justify" vertical="center" wrapText="1"/>
      <protection/>
    </xf>
    <xf numFmtId="4" fontId="20" fillId="34" borderId="14" xfId="68" applyNumberFormat="1" applyFont="1" applyFill="1" applyBorder="1" applyAlignment="1">
      <alignment horizontal="center"/>
      <protection/>
    </xf>
    <xf numFmtId="180" fontId="20" fillId="34" borderId="14" xfId="68" applyNumberFormat="1" applyFont="1" applyFill="1" applyBorder="1" applyAlignment="1">
      <alignment horizontal="center"/>
      <protection/>
    </xf>
    <xf numFmtId="4" fontId="20" fillId="34" borderId="14" xfId="68" applyNumberFormat="1" applyFont="1" applyFill="1" applyBorder="1" applyAlignment="1">
      <alignment horizontal="right"/>
      <protection/>
    </xf>
    <xf numFmtId="0" fontId="22" fillId="33" borderId="15" xfId="0" applyFont="1" applyFill="1" applyBorder="1" applyAlignment="1">
      <alignment horizontal="center" vertical="justify" wrapText="1"/>
    </xf>
    <xf numFmtId="0" fontId="89" fillId="33" borderId="16" xfId="0" applyFont="1" applyFill="1" applyBorder="1" applyAlignment="1">
      <alignment horizontal="justify" vertical="center" wrapText="1"/>
    </xf>
    <xf numFmtId="0" fontId="91" fillId="33" borderId="0" xfId="0" applyFont="1" applyFill="1" applyAlignment="1">
      <alignment horizontal="center" vertical="justify" wrapText="1"/>
    </xf>
    <xf numFmtId="0" fontId="91" fillId="33" borderId="0" xfId="0" applyFont="1" applyFill="1" applyBorder="1" applyAlignment="1">
      <alignment/>
    </xf>
    <xf numFmtId="0" fontId="91" fillId="34" borderId="14" xfId="0" applyFont="1" applyFill="1" applyBorder="1" applyAlignment="1">
      <alignment vertical="justify" wrapText="1"/>
    </xf>
    <xf numFmtId="0" fontId="91" fillId="34" borderId="14" xfId="0" applyFont="1" applyFill="1" applyBorder="1" applyAlignment="1">
      <alignment horizontal="center" vertical="justify" wrapText="1"/>
    </xf>
    <xf numFmtId="0" fontId="91" fillId="34" borderId="14" xfId="0" applyFont="1" applyFill="1" applyBorder="1" applyAlignment="1">
      <alignment vertical="center" wrapText="1"/>
    </xf>
    <xf numFmtId="0" fontId="90" fillId="34" borderId="14" xfId="0" applyFont="1" applyFill="1" applyBorder="1" applyAlignment="1">
      <alignment/>
    </xf>
    <xf numFmtId="0" fontId="90" fillId="34" borderId="23" xfId="0" applyFont="1" applyFill="1" applyBorder="1" applyAlignment="1">
      <alignment/>
    </xf>
    <xf numFmtId="0" fontId="90" fillId="34" borderId="23" xfId="0" applyFont="1" applyFill="1" applyBorder="1" applyAlignment="1">
      <alignment horizontal="right"/>
    </xf>
    <xf numFmtId="0" fontId="89" fillId="0" borderId="0" xfId="0" applyFont="1" applyBorder="1" applyAlignment="1">
      <alignment/>
    </xf>
    <xf numFmtId="183" fontId="22" fillId="33" borderId="14" xfId="0" applyNumberFormat="1" applyFont="1" applyFill="1" applyBorder="1" applyAlignment="1">
      <alignment/>
    </xf>
    <xf numFmtId="184" fontId="22" fillId="33" borderId="14" xfId="0" applyNumberFormat="1" applyFont="1" applyFill="1" applyBorder="1" applyAlignment="1">
      <alignment/>
    </xf>
    <xf numFmtId="0" fontId="90" fillId="34" borderId="26" xfId="0" applyFont="1" applyFill="1" applyBorder="1" applyAlignment="1">
      <alignment horizontal="right"/>
    </xf>
    <xf numFmtId="0" fontId="89" fillId="34" borderId="14" xfId="0" applyFont="1" applyFill="1" applyBorder="1" applyAlignment="1">
      <alignment/>
    </xf>
    <xf numFmtId="0" fontId="91" fillId="34" borderId="14" xfId="0" applyFont="1" applyFill="1" applyBorder="1" applyAlignment="1">
      <alignment horizontal="center"/>
    </xf>
    <xf numFmtId="0" fontId="91" fillId="34" borderId="14" xfId="0" applyFont="1" applyFill="1" applyBorder="1" applyAlignment="1">
      <alignment/>
    </xf>
    <xf numFmtId="0" fontId="89" fillId="0" borderId="21" xfId="0" applyFont="1" applyBorder="1" applyAlignment="1">
      <alignment/>
    </xf>
    <xf numFmtId="4" fontId="90" fillId="33" borderId="12" xfId="66" applyNumberFormat="1" applyFont="1" applyFill="1" applyBorder="1" applyAlignment="1">
      <alignment horizontal="left" vertical="center"/>
      <protection/>
    </xf>
    <xf numFmtId="4" fontId="90" fillId="33" borderId="11" xfId="65" applyNumberFormat="1" applyFont="1" applyFill="1" applyBorder="1" applyAlignment="1">
      <alignment horizontal="left"/>
      <protection/>
    </xf>
    <xf numFmtId="4" fontId="90" fillId="33" borderId="13" xfId="59" applyNumberFormat="1" applyFont="1" applyFill="1" applyBorder="1" applyAlignment="1">
      <alignment horizontal="left"/>
      <protection/>
    </xf>
    <xf numFmtId="0" fontId="93" fillId="0" borderId="0" xfId="0" applyFont="1" applyBorder="1" applyAlignment="1">
      <alignment horizontal="center"/>
    </xf>
    <xf numFmtId="0" fontId="0" fillId="0" borderId="14" xfId="0" applyBorder="1" applyAlignment="1">
      <alignment horizontal="center" vertical="center"/>
    </xf>
    <xf numFmtId="8" fontId="0" fillId="0" borderId="14" xfId="0" applyNumberFormat="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49" fontId="94" fillId="33" borderId="26" xfId="65" applyNumberFormat="1" applyFont="1" applyFill="1" applyBorder="1" applyAlignment="1">
      <alignment horizontal="center" vertical="center" wrapText="1"/>
      <protection/>
    </xf>
    <xf numFmtId="0" fontId="80" fillId="33" borderId="25"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justify" wrapText="1"/>
    </xf>
    <xf numFmtId="0" fontId="5" fillId="0" borderId="17" xfId="0" applyFont="1" applyFill="1" applyBorder="1" applyAlignment="1">
      <alignment horizontal="center" vertical="justify" wrapText="1"/>
    </xf>
    <xf numFmtId="0" fontId="5" fillId="0" borderId="14" xfId="0" applyFont="1" applyFill="1" applyBorder="1" applyAlignment="1">
      <alignment horizontal="center" vertical="justify" wrapText="1"/>
    </xf>
    <xf numFmtId="4" fontId="5" fillId="0" borderId="14"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80" fillId="33" borderId="13" xfId="66" applyNumberFormat="1" applyFont="1" applyFill="1" applyBorder="1" applyAlignment="1">
      <alignment horizontal="left" vertical="center"/>
      <protection/>
    </xf>
    <xf numFmtId="4" fontId="80" fillId="33" borderId="0" xfId="66" applyNumberFormat="1" applyFont="1" applyFill="1" applyBorder="1" applyAlignment="1">
      <alignment horizontal="left" vertical="center"/>
      <protection/>
    </xf>
    <xf numFmtId="4" fontId="80" fillId="33" borderId="19" xfId="66" applyNumberFormat="1" applyFont="1" applyFill="1" applyBorder="1" applyAlignment="1">
      <alignment horizontal="left" vertical="center"/>
      <protection/>
    </xf>
    <xf numFmtId="0" fontId="3" fillId="33" borderId="13" xfId="0" applyFont="1" applyFill="1" applyBorder="1" applyAlignment="1">
      <alignment horizontal="left" vertical="center" wrapText="1" readingOrder="1"/>
    </xf>
    <xf numFmtId="0" fontId="3" fillId="33" borderId="0" xfId="0" applyFont="1" applyFill="1" applyBorder="1" applyAlignment="1">
      <alignment horizontal="left" vertical="center" wrapText="1" readingOrder="1"/>
    </xf>
    <xf numFmtId="0" fontId="3" fillId="33" borderId="19" xfId="0" applyFont="1" applyFill="1" applyBorder="1" applyAlignment="1">
      <alignment horizontal="left" vertical="center" wrapText="1" readingOrder="1"/>
    </xf>
    <xf numFmtId="0" fontId="3" fillId="33" borderId="1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9" xfId="0" applyFont="1" applyFill="1" applyBorder="1" applyAlignment="1">
      <alignment horizontal="left" vertical="center" wrapText="1"/>
    </xf>
    <xf numFmtId="4" fontId="80" fillId="33" borderId="13" xfId="59" applyNumberFormat="1" applyFont="1" applyFill="1" applyBorder="1" applyAlignment="1">
      <alignment horizontal="left" vertical="center"/>
      <protection/>
    </xf>
    <xf numFmtId="4" fontId="80" fillId="33" borderId="0" xfId="59" applyNumberFormat="1" applyFont="1" applyFill="1" applyBorder="1" applyAlignment="1">
      <alignment horizontal="left" vertical="center"/>
      <protection/>
    </xf>
    <xf numFmtId="4" fontId="80" fillId="33" borderId="19" xfId="59" applyNumberFormat="1" applyFont="1" applyFill="1" applyBorder="1" applyAlignment="1">
      <alignment horizontal="left" vertical="center"/>
      <protection/>
    </xf>
    <xf numFmtId="0" fontId="3" fillId="33" borderId="20" xfId="66" applyFont="1" applyFill="1" applyBorder="1" applyAlignment="1">
      <alignment horizontal="left"/>
      <protection/>
    </xf>
    <xf numFmtId="0" fontId="3" fillId="33" borderId="21" xfId="66" applyFont="1" applyFill="1" applyBorder="1" applyAlignment="1">
      <alignment horizontal="left"/>
      <protection/>
    </xf>
    <xf numFmtId="0" fontId="3" fillId="33" borderId="22" xfId="66" applyFont="1" applyFill="1" applyBorder="1" applyAlignment="1">
      <alignment horizontal="left"/>
      <protection/>
    </xf>
    <xf numFmtId="0" fontId="20" fillId="0" borderId="14" xfId="0" applyFont="1" applyFill="1" applyBorder="1" applyAlignment="1">
      <alignment horizontal="center" vertical="center"/>
    </xf>
    <xf numFmtId="0" fontId="20" fillId="0" borderId="14" xfId="0" applyFont="1" applyFill="1" applyBorder="1" applyAlignment="1">
      <alignment horizontal="center" vertical="justify" wrapText="1"/>
    </xf>
    <xf numFmtId="4" fontId="20" fillId="0" borderId="26" xfId="0" applyNumberFormat="1" applyFont="1" applyFill="1" applyBorder="1" applyAlignment="1">
      <alignment horizontal="center" vertical="center"/>
    </xf>
    <xf numFmtId="4" fontId="20" fillId="0" borderId="25" xfId="0" applyNumberFormat="1" applyFont="1" applyFill="1" applyBorder="1" applyAlignment="1">
      <alignment horizontal="center" vertical="center"/>
    </xf>
    <xf numFmtId="4" fontId="20" fillId="0" borderId="23" xfId="0" applyNumberFormat="1" applyFont="1" applyFill="1" applyBorder="1" applyAlignment="1">
      <alignment horizontal="center" vertical="center"/>
    </xf>
    <xf numFmtId="4" fontId="20" fillId="0" borderId="15" xfId="0" applyNumberFormat="1" applyFont="1" applyFill="1" applyBorder="1" applyAlignment="1">
      <alignment horizontal="center" vertical="center"/>
    </xf>
    <xf numFmtId="4" fontId="20" fillId="0" borderId="17" xfId="0" applyNumberFormat="1" applyFont="1" applyFill="1" applyBorder="1" applyAlignment="1">
      <alignment horizontal="center" vertical="center"/>
    </xf>
    <xf numFmtId="49" fontId="20" fillId="33" borderId="20" xfId="65" applyNumberFormat="1" applyFont="1" applyFill="1" applyBorder="1" applyAlignment="1">
      <alignment horizontal="center" vertical="center" wrapText="1"/>
      <protection/>
    </xf>
    <xf numFmtId="49" fontId="20" fillId="33" borderId="21" xfId="65" applyNumberFormat="1" applyFont="1" applyFill="1" applyBorder="1" applyAlignment="1">
      <alignment horizontal="center" vertical="center" wrapText="1"/>
      <protection/>
    </xf>
    <xf numFmtId="49" fontId="20" fillId="33" borderId="22" xfId="65" applyNumberFormat="1" applyFont="1" applyFill="1" applyBorder="1" applyAlignment="1">
      <alignment horizontal="center" vertical="center" wrapText="1"/>
      <protection/>
    </xf>
    <xf numFmtId="4" fontId="89" fillId="33" borderId="13" xfId="66" applyNumberFormat="1" applyFont="1" applyFill="1" applyBorder="1" applyAlignment="1">
      <alignment horizontal="left" vertical="center"/>
      <protection/>
    </xf>
    <xf numFmtId="4" fontId="89" fillId="33" borderId="0" xfId="66" applyNumberFormat="1" applyFont="1" applyFill="1" applyBorder="1" applyAlignment="1">
      <alignment horizontal="left" vertical="center"/>
      <protection/>
    </xf>
    <xf numFmtId="4" fontId="89" fillId="33" borderId="19" xfId="66" applyNumberFormat="1" applyFont="1" applyFill="1" applyBorder="1" applyAlignment="1">
      <alignment horizontal="left" vertical="center"/>
      <protection/>
    </xf>
    <xf numFmtId="0" fontId="22" fillId="33" borderId="13" xfId="0" applyFont="1" applyFill="1" applyBorder="1" applyAlignment="1">
      <alignment horizontal="left" vertical="center" wrapText="1" readingOrder="1"/>
    </xf>
    <xf numFmtId="0" fontId="22" fillId="33" borderId="0" xfId="0" applyFont="1" applyFill="1" applyBorder="1" applyAlignment="1">
      <alignment horizontal="left" vertical="center" wrapText="1" readingOrder="1"/>
    </xf>
    <xf numFmtId="0" fontId="22" fillId="33" borderId="19" xfId="0" applyFont="1" applyFill="1" applyBorder="1" applyAlignment="1">
      <alignment horizontal="left" vertical="center" wrapText="1" readingOrder="1"/>
    </xf>
    <xf numFmtId="0" fontId="22" fillId="33" borderId="13"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22" fillId="33" borderId="19" xfId="0" applyFont="1" applyFill="1" applyBorder="1" applyAlignment="1">
      <alignment horizontal="left" vertical="center" wrapText="1"/>
    </xf>
    <xf numFmtId="4" fontId="89" fillId="33" borderId="13" xfId="59" applyNumberFormat="1" applyFont="1" applyFill="1" applyBorder="1" applyAlignment="1">
      <alignment horizontal="left" vertical="center"/>
      <protection/>
    </xf>
    <xf numFmtId="4" fontId="89" fillId="33" borderId="0" xfId="59" applyNumberFormat="1" applyFont="1" applyFill="1" applyBorder="1" applyAlignment="1">
      <alignment horizontal="left" vertical="center"/>
      <protection/>
    </xf>
    <xf numFmtId="4" fontId="89" fillId="33" borderId="19" xfId="59" applyNumberFormat="1" applyFont="1" applyFill="1" applyBorder="1" applyAlignment="1">
      <alignment horizontal="left" vertical="center"/>
      <protection/>
    </xf>
    <xf numFmtId="0" fontId="22" fillId="33" borderId="20" xfId="66" applyFont="1" applyFill="1" applyBorder="1" applyAlignment="1">
      <alignment horizontal="left"/>
      <protection/>
    </xf>
    <xf numFmtId="0" fontId="22" fillId="33" borderId="21" xfId="66" applyFont="1" applyFill="1" applyBorder="1" applyAlignment="1">
      <alignment horizontal="left"/>
      <protection/>
    </xf>
    <xf numFmtId="0" fontId="22" fillId="33" borderId="22" xfId="66" applyFont="1" applyFill="1" applyBorder="1" applyAlignment="1">
      <alignment horizontal="left"/>
      <protection/>
    </xf>
    <xf numFmtId="0" fontId="20" fillId="0" borderId="26" xfId="66" applyFont="1" applyFill="1" applyBorder="1" applyAlignment="1">
      <alignment horizontal="center" vertical="center" wrapText="1"/>
      <protection/>
    </xf>
    <xf numFmtId="0" fontId="20" fillId="0" borderId="25" xfId="66" applyFont="1" applyFill="1" applyBorder="1" applyAlignment="1">
      <alignment horizontal="center" vertical="center" wrapText="1"/>
      <protection/>
    </xf>
    <xf numFmtId="0" fontId="20" fillId="0" borderId="23" xfId="66" applyFont="1" applyFill="1" applyBorder="1" applyAlignment="1">
      <alignment horizontal="center" vertical="center" wrapText="1"/>
      <protection/>
    </xf>
    <xf numFmtId="0" fontId="20" fillId="0" borderId="26" xfId="62" applyFont="1" applyBorder="1" applyAlignment="1">
      <alignment horizontal="center"/>
      <protection/>
    </xf>
    <xf numFmtId="0" fontId="20" fillId="0" borderId="25" xfId="62" applyFont="1" applyBorder="1" applyAlignment="1">
      <alignment horizontal="center"/>
      <protection/>
    </xf>
    <xf numFmtId="0" fontId="20" fillId="0" borderId="15" xfId="62" applyFont="1" applyBorder="1" applyAlignment="1">
      <alignment horizontal="center" wrapText="1"/>
      <protection/>
    </xf>
    <xf numFmtId="0" fontId="20" fillId="0" borderId="16" xfId="62" applyFont="1" applyBorder="1" applyAlignment="1">
      <alignment horizontal="center" wrapText="1"/>
      <protection/>
    </xf>
    <xf numFmtId="0" fontId="20" fillId="0" borderId="17" xfId="62" applyFont="1" applyBorder="1" applyAlignment="1">
      <alignment horizontal="center" wrapText="1"/>
      <protection/>
    </xf>
    <xf numFmtId="0" fontId="20" fillId="0" borderId="23" xfId="62" applyFont="1" applyBorder="1" applyAlignment="1">
      <alignment horizontal="center"/>
      <protection/>
    </xf>
    <xf numFmtId="10" fontId="20" fillId="0" borderId="26" xfId="62" applyNumberFormat="1" applyFont="1" applyBorder="1" applyAlignment="1">
      <alignment horizontal="center"/>
      <protection/>
    </xf>
    <xf numFmtId="44" fontId="25" fillId="0" borderId="13" xfId="59" applyNumberFormat="1" applyFont="1" applyBorder="1" applyAlignment="1">
      <alignment horizontal="center" vertical="center" wrapText="1" readingOrder="1"/>
      <protection/>
    </xf>
    <xf numFmtId="44" fontId="25" fillId="0" borderId="0" xfId="59" applyNumberFormat="1" applyFont="1" applyBorder="1" applyAlignment="1">
      <alignment horizontal="center" vertical="center" wrapText="1" readingOrder="1"/>
      <protection/>
    </xf>
    <xf numFmtId="4" fontId="95" fillId="0" borderId="13" xfId="59" applyNumberFormat="1" applyFont="1" applyFill="1" applyBorder="1" applyAlignment="1">
      <alignment horizontal="center" vertical="center" wrapText="1" readingOrder="1"/>
      <protection/>
    </xf>
    <xf numFmtId="4" fontId="95" fillId="0" borderId="0" xfId="59" applyNumberFormat="1" applyFont="1" applyFill="1" applyBorder="1" applyAlignment="1">
      <alignment horizontal="center" vertical="center" wrapText="1" readingOrder="1"/>
      <protection/>
    </xf>
    <xf numFmtId="0" fontId="27" fillId="0" borderId="13" xfId="66" applyFont="1" applyFill="1" applyBorder="1" applyAlignment="1">
      <alignment horizontal="center"/>
      <protection/>
    </xf>
    <xf numFmtId="0" fontId="27" fillId="0" borderId="0" xfId="66" applyFont="1" applyFill="1" applyBorder="1" applyAlignment="1">
      <alignment horizontal="center"/>
      <protection/>
    </xf>
    <xf numFmtId="4" fontId="95" fillId="0" borderId="13" xfId="59" applyNumberFormat="1" applyFont="1" applyFill="1" applyBorder="1" applyAlignment="1">
      <alignment horizontal="center" vertical="center" wrapText="1"/>
      <protection/>
    </xf>
    <xf numFmtId="4" fontId="95" fillId="0" borderId="0" xfId="59" applyNumberFormat="1" applyFont="1" applyFill="1" applyBorder="1" applyAlignment="1">
      <alignment horizontal="center" vertical="center" wrapText="1"/>
      <protection/>
    </xf>
    <xf numFmtId="4" fontId="95" fillId="0" borderId="13" xfId="66" applyNumberFormat="1" applyFont="1" applyFill="1" applyBorder="1" applyAlignment="1">
      <alignment horizontal="center" vertical="center" wrapText="1"/>
      <protection/>
    </xf>
    <xf numFmtId="4" fontId="95" fillId="0" borderId="0" xfId="66" applyNumberFormat="1" applyFont="1" applyFill="1" applyBorder="1" applyAlignment="1">
      <alignment horizontal="center" vertical="center" wrapText="1"/>
      <protection/>
    </xf>
    <xf numFmtId="4" fontId="95" fillId="0" borderId="20" xfId="66" applyNumberFormat="1" applyFont="1" applyFill="1" applyBorder="1" applyAlignment="1">
      <alignment horizontal="center" vertical="center" wrapText="1"/>
      <protection/>
    </xf>
    <xf numFmtId="4" fontId="95" fillId="0" borderId="21" xfId="66" applyNumberFormat="1" applyFont="1" applyFill="1" applyBorder="1" applyAlignment="1">
      <alignment horizontal="center" vertical="center" wrapText="1"/>
      <protection/>
    </xf>
    <xf numFmtId="39" fontId="20" fillId="0" borderId="26" xfId="62" applyNumberFormat="1" applyFont="1" applyBorder="1" applyAlignment="1">
      <alignment horizontal="center"/>
      <protection/>
    </xf>
    <xf numFmtId="39" fontId="20" fillId="0" borderId="23" xfId="62" applyNumberFormat="1" applyFont="1" applyBorder="1" applyAlignment="1">
      <alignment horizontal="center"/>
      <protection/>
    </xf>
    <xf numFmtId="10" fontId="20" fillId="0" borderId="26" xfId="71" applyNumberFormat="1" applyFont="1" applyBorder="1" applyAlignment="1">
      <alignment horizontal="center"/>
    </xf>
    <xf numFmtId="10" fontId="20" fillId="0" borderId="23" xfId="71" applyNumberFormat="1" applyFont="1" applyBorder="1" applyAlignment="1">
      <alignment horizontal="center"/>
    </xf>
    <xf numFmtId="4" fontId="20" fillId="0" borderId="26" xfId="64" applyNumberFormat="1" applyFont="1" applyBorder="1" applyAlignment="1">
      <alignment horizontal="center"/>
      <protection/>
    </xf>
    <xf numFmtId="4" fontId="20" fillId="0" borderId="23" xfId="64" applyNumberFormat="1" applyFont="1" applyBorder="1" applyAlignment="1">
      <alignment horizontal="center"/>
      <protection/>
    </xf>
    <xf numFmtId="1" fontId="20" fillId="0" borderId="26" xfId="62" applyNumberFormat="1" applyFont="1" applyBorder="1" applyAlignment="1">
      <alignment horizontal="left" vertical="top"/>
      <protection/>
    </xf>
    <xf numFmtId="1" fontId="20" fillId="0" borderId="23" xfId="62" applyNumberFormat="1" applyFont="1" applyBorder="1" applyAlignment="1">
      <alignment horizontal="left" vertical="top"/>
      <protection/>
    </xf>
    <xf numFmtId="0" fontId="20" fillId="0" borderId="26" xfId="62" applyFont="1" applyBorder="1" applyAlignment="1">
      <alignment horizontal="left" vertical="top"/>
      <protection/>
    </xf>
    <xf numFmtId="0" fontId="20" fillId="0" borderId="23" xfId="62" applyFont="1" applyBorder="1" applyAlignment="1">
      <alignment horizontal="left" vertical="top"/>
      <protection/>
    </xf>
    <xf numFmtId="44" fontId="25" fillId="0" borderId="11" xfId="59" applyNumberFormat="1" applyFont="1" applyBorder="1" applyAlignment="1">
      <alignment horizontal="center" vertical="center" wrapText="1" readingOrder="1"/>
      <protection/>
    </xf>
    <xf numFmtId="44" fontId="25" fillId="0" borderId="12" xfId="59" applyNumberFormat="1" applyFont="1" applyBorder="1" applyAlignment="1">
      <alignment horizontal="center" vertical="center" wrapText="1" readingOrder="1"/>
      <protection/>
    </xf>
    <xf numFmtId="0" fontId="20" fillId="0" borderId="14" xfId="63" applyFont="1" applyFill="1" applyBorder="1" applyAlignment="1">
      <alignment horizontal="center" vertical="top"/>
      <protection/>
    </xf>
  </cellXfs>
  <cellStyles count="7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Euro 2" xfId="45"/>
    <cellStyle name="Euro 2 2" xfId="46"/>
    <cellStyle name="Hyperlink" xfId="47"/>
    <cellStyle name="Followed Hyperlink" xfId="48"/>
    <cellStyle name="Incorreto" xfId="49"/>
    <cellStyle name="Currency" xfId="50"/>
    <cellStyle name="Currency [0]" xfId="51"/>
    <cellStyle name="Moeda 2" xfId="52"/>
    <cellStyle name="Moeda 3" xfId="53"/>
    <cellStyle name="Neutra" xfId="54"/>
    <cellStyle name="Normal 10" xfId="55"/>
    <cellStyle name="Normal 2" xfId="56"/>
    <cellStyle name="Normal 2 2" xfId="57"/>
    <cellStyle name="Normal 2 2 2" xfId="58"/>
    <cellStyle name="Normal 2 3" xfId="59"/>
    <cellStyle name="Normal 3" xfId="60"/>
    <cellStyle name="Normal 4" xfId="61"/>
    <cellStyle name="Normal_CRONOGRAMA" xfId="62"/>
    <cellStyle name="Normal_CRUZEI~1" xfId="63"/>
    <cellStyle name="Normal_Orçamento nº057-2003- Esc. Munic. AMPARO revisão" xfId="64"/>
    <cellStyle name="Normal_P_Getulio Vargas" xfId="65"/>
    <cellStyle name="Normal_P_Getulio Vargas 2" xfId="66"/>
    <cellStyle name="Normal_P-HLEITE" xfId="67"/>
    <cellStyle name="Normal_RUAS 3,4,7 e 8 R-1 2 2" xfId="68"/>
    <cellStyle name="Nota" xfId="69"/>
    <cellStyle name="Percent" xfId="70"/>
    <cellStyle name="Porcentagem 2" xfId="71"/>
    <cellStyle name="Porcentagem 3" xfId="72"/>
    <cellStyle name="Saída" xfId="73"/>
    <cellStyle name="Comma [0]" xfId="74"/>
    <cellStyle name="Texto de Aviso" xfId="75"/>
    <cellStyle name="Texto Explicativo" xfId="76"/>
    <cellStyle name="Título" xfId="77"/>
    <cellStyle name="Título 1" xfId="78"/>
    <cellStyle name="Título 1 1" xfId="79"/>
    <cellStyle name="Título 1 1 1" xfId="80"/>
    <cellStyle name="Título 1 1_PLAN   (2)" xfId="81"/>
    <cellStyle name="Título 2" xfId="82"/>
    <cellStyle name="Título 3" xfId="83"/>
    <cellStyle name="Título 4" xfId="84"/>
    <cellStyle name="Total" xfId="85"/>
    <cellStyle name="Comma" xfId="86"/>
    <cellStyle name="Vírgula 2" xfId="87"/>
    <cellStyle name="Vírgula 3"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1</xdr:col>
      <xdr:colOff>1171575</xdr:colOff>
      <xdr:row>6</xdr:row>
      <xdr:rowOff>200025</xdr:rowOff>
    </xdr:to>
    <xdr:pic>
      <xdr:nvPicPr>
        <xdr:cNvPr id="1" name="Picture 2"/>
        <xdr:cNvPicPr preferRelativeResize="1">
          <a:picLocks noChangeAspect="1"/>
        </xdr:cNvPicPr>
      </xdr:nvPicPr>
      <xdr:blipFill>
        <a:blip r:embed="rId1"/>
        <a:stretch>
          <a:fillRect/>
        </a:stretch>
      </xdr:blipFill>
      <xdr:spPr>
        <a:xfrm>
          <a:off x="114300" y="142875"/>
          <a:ext cx="16478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1143000</xdr:colOff>
      <xdr:row>0</xdr:row>
      <xdr:rowOff>114300</xdr:rowOff>
    </xdr:from>
    <xdr:to>
      <xdr:col>1</xdr:col>
      <xdr:colOff>2657475</xdr:colOff>
      <xdr:row>8</xdr:row>
      <xdr:rowOff>9525</xdr:rowOff>
    </xdr:to>
    <xdr:pic>
      <xdr:nvPicPr>
        <xdr:cNvPr id="1" name="Picture 2"/>
        <xdr:cNvPicPr preferRelativeResize="1">
          <a:picLocks noChangeAspect="1"/>
        </xdr:cNvPicPr>
      </xdr:nvPicPr>
      <xdr:blipFill>
        <a:blip r:embed="rId1"/>
        <a:stretch>
          <a:fillRect/>
        </a:stretch>
      </xdr:blipFill>
      <xdr:spPr>
        <a:xfrm>
          <a:off x="1143000" y="114300"/>
          <a:ext cx="2686050" cy="3381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762000</xdr:colOff>
      <xdr:row>0</xdr:row>
      <xdr:rowOff>295275</xdr:rowOff>
    </xdr:from>
    <xdr:to>
      <xdr:col>29</xdr:col>
      <xdr:colOff>1524000</xdr:colOff>
      <xdr:row>7</xdr:row>
      <xdr:rowOff>295275</xdr:rowOff>
    </xdr:to>
    <xdr:pic>
      <xdr:nvPicPr>
        <xdr:cNvPr id="1" name="Picture 2"/>
        <xdr:cNvPicPr preferRelativeResize="1">
          <a:picLocks noChangeAspect="1"/>
        </xdr:cNvPicPr>
      </xdr:nvPicPr>
      <xdr:blipFill>
        <a:blip r:embed="rId1"/>
        <a:stretch>
          <a:fillRect/>
        </a:stretch>
      </xdr:blipFill>
      <xdr:spPr>
        <a:xfrm>
          <a:off x="49987200" y="295275"/>
          <a:ext cx="6257925" cy="6867525"/>
        </a:xfrm>
        <a:prstGeom prst="rect">
          <a:avLst/>
        </a:prstGeom>
        <a:noFill/>
        <a:ln w="9525" cmpd="sng">
          <a:noFill/>
        </a:ln>
      </xdr:spPr>
    </xdr:pic>
    <xdr:clientData/>
  </xdr:twoCellAnchor>
  <xdr:twoCellAnchor>
    <xdr:from>
      <xdr:col>11</xdr:col>
      <xdr:colOff>1000125</xdr:colOff>
      <xdr:row>1</xdr:row>
      <xdr:rowOff>47625</xdr:rowOff>
    </xdr:from>
    <xdr:to>
      <xdr:col>14</xdr:col>
      <xdr:colOff>1762125</xdr:colOff>
      <xdr:row>8</xdr:row>
      <xdr:rowOff>47625</xdr:rowOff>
    </xdr:to>
    <xdr:pic>
      <xdr:nvPicPr>
        <xdr:cNvPr id="2" name="Picture 2"/>
        <xdr:cNvPicPr preferRelativeResize="1">
          <a:picLocks noChangeAspect="1"/>
        </xdr:cNvPicPr>
      </xdr:nvPicPr>
      <xdr:blipFill>
        <a:blip r:embed="rId1"/>
        <a:stretch>
          <a:fillRect/>
        </a:stretch>
      </xdr:blipFill>
      <xdr:spPr>
        <a:xfrm>
          <a:off x="21802725" y="1028700"/>
          <a:ext cx="6257925" cy="6867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fredo.cunha\Documents\Meus%20Documentos\ALFREDO\QUADRA%20PARQUE%20INDEPEND&#202;NCIA\Or&#231;amento%20n&#186;0xx-2014_%20Constru&#231;&#227;o%20de%20Quadra%20Poliesportiva%20Coberta%20Parque%20Independ&#234;nc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lfredo.cunha\Documents\Meus%20Documentos\PLANEJAMENTO%20PMBM%202017\PRESIDENTE%20KENNEDY%202018\ARQUIVOS%20FINAIS%2011-12-2018\rev24-10_Or&#231;amento%200xx-18_%20Av.%20Presidente%20Kennedy%20-%20ONER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alfredo.cunha\Documents\Meus%20Documentos\ALFREDO\QUADRA%20PARQUE%20INDEPEND&#202;NCIA\Or&#231;amento%20n&#186;0xx-2014_%20Constru&#231;&#227;o%20de%20Quadra%20Poliesportiva%20Coberta%20Parque%20Independ&#234;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ÓRIA"/>
      <sheetName val="EMOP"/>
      <sheetName val="SUSESP"/>
      <sheetName val="SUSESP SP"/>
      <sheetName val="Cronograma "/>
      <sheetName val="Cronograma  s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TAÇÕES DE MERCADO"/>
      <sheetName val="MEMÓRIA TOTAL DESONERADA "/>
      <sheetName val="MEMÓRIA TOTAL ONERADA"/>
      <sheetName val="MEMÓRIA ONERADA"/>
      <sheetName val="PLANILHA SEM BDI"/>
      <sheetName val="PLANILHA COM BDI"/>
      <sheetName val="Cronograma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MÓRIA"/>
      <sheetName val="EMOP"/>
      <sheetName val="SUSESP"/>
      <sheetName val="SUSESP SP"/>
      <sheetName val="Cronograma "/>
      <sheetName val="Cronograma  s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2"/>
  <sheetViews>
    <sheetView view="pageBreakPreview" zoomScale="60" zoomScalePageLayoutView="0" workbookViewId="0" topLeftCell="A1">
      <selection activeCell="J11" sqref="J11"/>
    </sheetView>
  </sheetViews>
  <sheetFormatPr defaultColWidth="9.140625" defaultRowHeight="15"/>
  <cols>
    <col min="1" max="1" width="4.7109375" style="0" customWidth="1"/>
    <col min="2" max="2" width="19.8515625" style="0" bestFit="1" customWidth="1"/>
    <col min="3" max="3" width="53.00390625" style="0" customWidth="1"/>
    <col min="4" max="4" width="15.57421875" style="0" bestFit="1" customWidth="1"/>
    <col min="5" max="5" width="18.8515625" style="0" bestFit="1" customWidth="1"/>
    <col min="6" max="7" width="19.8515625" style="0" bestFit="1" customWidth="1"/>
  </cols>
  <sheetData>
    <row r="1" spans="1:7" ht="21">
      <c r="A1" s="495" t="s">
        <v>181</v>
      </c>
      <c r="B1" s="495"/>
      <c r="C1" s="495"/>
      <c r="D1" s="495"/>
      <c r="E1" s="495"/>
      <c r="F1" s="495"/>
      <c r="G1" s="495"/>
    </row>
    <row r="3" spans="1:7" ht="15">
      <c r="A3" s="496" t="s">
        <v>182</v>
      </c>
      <c r="B3" s="496"/>
      <c r="C3" s="173" t="s">
        <v>183</v>
      </c>
      <c r="D3" s="173" t="s">
        <v>184</v>
      </c>
      <c r="E3" s="173" t="s">
        <v>185</v>
      </c>
      <c r="F3" s="496" t="s">
        <v>186</v>
      </c>
      <c r="G3" s="496"/>
    </row>
    <row r="4" spans="1:7" ht="50.25" customHeight="1">
      <c r="A4" s="496" t="s">
        <v>61</v>
      </c>
      <c r="B4" s="496"/>
      <c r="C4" s="173" t="s">
        <v>187</v>
      </c>
      <c r="D4" s="173" t="s">
        <v>188</v>
      </c>
      <c r="E4" s="174">
        <v>43252</v>
      </c>
      <c r="F4" s="497">
        <f>G9</f>
        <v>143.64</v>
      </c>
      <c r="G4" s="496"/>
    </row>
    <row r="5" spans="1:7" ht="22.5" customHeight="1">
      <c r="A5" s="173"/>
      <c r="B5" s="173" t="s">
        <v>189</v>
      </c>
      <c r="C5" s="173" t="s">
        <v>190</v>
      </c>
      <c r="D5" s="173" t="s">
        <v>191</v>
      </c>
      <c r="E5" s="173" t="s">
        <v>192</v>
      </c>
      <c r="F5" s="173" t="s">
        <v>193</v>
      </c>
      <c r="G5" s="173" t="s">
        <v>194</v>
      </c>
    </row>
    <row r="6" spans="1:7" ht="22.5" customHeight="1">
      <c r="A6" s="173"/>
      <c r="B6" s="173" t="s">
        <v>195</v>
      </c>
      <c r="C6" s="173" t="s">
        <v>196</v>
      </c>
      <c r="D6" s="173" t="s">
        <v>197</v>
      </c>
      <c r="E6" s="173" t="s">
        <v>198</v>
      </c>
      <c r="F6" s="175">
        <v>43390</v>
      </c>
      <c r="G6" s="176">
        <v>137.1</v>
      </c>
    </row>
    <row r="7" spans="1:7" ht="22.5" customHeight="1">
      <c r="A7" s="173"/>
      <c r="B7" s="173" t="s">
        <v>199</v>
      </c>
      <c r="C7" s="173" t="s">
        <v>200</v>
      </c>
      <c r="D7" s="173" t="s">
        <v>201</v>
      </c>
      <c r="E7" s="173" t="s">
        <v>202</v>
      </c>
      <c r="F7" s="175">
        <v>43396</v>
      </c>
      <c r="G7" s="176">
        <v>200</v>
      </c>
    </row>
    <row r="8" spans="1:7" ht="22.5" customHeight="1">
      <c r="A8" s="173"/>
      <c r="B8" s="173" t="s">
        <v>417</v>
      </c>
      <c r="C8" s="173" t="s">
        <v>418</v>
      </c>
      <c r="D8" s="173" t="s">
        <v>697</v>
      </c>
      <c r="E8" s="173" t="s">
        <v>419</v>
      </c>
      <c r="F8" s="175">
        <v>43397</v>
      </c>
      <c r="G8" s="173">
        <f>TRUNC((136.87+(14900/2200)),2)</f>
        <v>143.64</v>
      </c>
    </row>
    <row r="9" spans="1:7" ht="22.5" customHeight="1">
      <c r="A9" s="498"/>
      <c r="B9" s="499"/>
      <c r="C9" s="499"/>
      <c r="D9" s="500"/>
      <c r="E9" s="173" t="s">
        <v>203</v>
      </c>
      <c r="F9" s="173"/>
      <c r="G9" s="177">
        <f>MEDIAN(G6:G8)</f>
        <v>143.64</v>
      </c>
    </row>
    <row r="10" spans="1:7" ht="34.5" customHeight="1">
      <c r="A10" s="501" t="s">
        <v>204</v>
      </c>
      <c r="B10" s="502"/>
      <c r="C10" s="173"/>
      <c r="D10" s="173"/>
      <c r="E10" s="173"/>
      <c r="F10" s="173"/>
      <c r="G10" s="173"/>
    </row>
    <row r="12" spans="1:7" ht="15">
      <c r="A12" s="50"/>
      <c r="B12" s="50"/>
      <c r="C12" s="50"/>
      <c r="D12" s="50"/>
      <c r="E12" s="50"/>
      <c r="F12" s="50"/>
      <c r="G12" s="50"/>
    </row>
    <row r="13" spans="1:7" ht="15">
      <c r="A13" s="496" t="s">
        <v>182</v>
      </c>
      <c r="B13" s="496"/>
      <c r="C13" s="173" t="s">
        <v>183</v>
      </c>
      <c r="D13" s="173" t="s">
        <v>184</v>
      </c>
      <c r="E13" s="173" t="s">
        <v>185</v>
      </c>
      <c r="F13" s="496" t="s">
        <v>186</v>
      </c>
      <c r="G13" s="496"/>
    </row>
    <row r="14" spans="1:7" ht="50.25" customHeight="1">
      <c r="A14" s="496" t="s">
        <v>62</v>
      </c>
      <c r="B14" s="496"/>
      <c r="C14" s="173" t="s">
        <v>205</v>
      </c>
      <c r="D14" s="173" t="s">
        <v>184</v>
      </c>
      <c r="E14" s="174">
        <v>43252</v>
      </c>
      <c r="F14" s="497">
        <f>G19</f>
        <v>143.64</v>
      </c>
      <c r="G14" s="496"/>
    </row>
    <row r="15" spans="1:7" ht="22.5" customHeight="1">
      <c r="A15" s="173"/>
      <c r="B15" s="173" t="s">
        <v>189</v>
      </c>
      <c r="C15" s="173" t="s">
        <v>190</v>
      </c>
      <c r="D15" s="173" t="s">
        <v>191</v>
      </c>
      <c r="E15" s="173" t="s">
        <v>192</v>
      </c>
      <c r="F15" s="173" t="s">
        <v>193</v>
      </c>
      <c r="G15" s="173" t="s">
        <v>194</v>
      </c>
    </row>
    <row r="16" spans="1:7" ht="22.5" customHeight="1">
      <c r="A16" s="173"/>
      <c r="B16" s="173" t="s">
        <v>195</v>
      </c>
      <c r="C16" s="173" t="s">
        <v>196</v>
      </c>
      <c r="D16" s="173" t="s">
        <v>197</v>
      </c>
      <c r="E16" s="173" t="s">
        <v>198</v>
      </c>
      <c r="F16" s="175">
        <v>43390</v>
      </c>
      <c r="G16" s="176">
        <v>137.1</v>
      </c>
    </row>
    <row r="17" spans="1:7" ht="22.5" customHeight="1">
      <c r="A17" s="173"/>
      <c r="B17" s="173" t="s">
        <v>199</v>
      </c>
      <c r="C17" s="173" t="s">
        <v>200</v>
      </c>
      <c r="D17" s="173" t="s">
        <v>201</v>
      </c>
      <c r="E17" s="173" t="s">
        <v>202</v>
      </c>
      <c r="F17" s="175">
        <v>43396</v>
      </c>
      <c r="G17" s="176">
        <v>200</v>
      </c>
    </row>
    <row r="18" spans="1:7" ht="22.5" customHeight="1">
      <c r="A18" s="173"/>
      <c r="B18" s="173" t="s">
        <v>417</v>
      </c>
      <c r="C18" s="173" t="s">
        <v>418</v>
      </c>
      <c r="D18" s="173" t="s">
        <v>697</v>
      </c>
      <c r="E18" s="173" t="s">
        <v>419</v>
      </c>
      <c r="F18" s="175">
        <v>43397</v>
      </c>
      <c r="G18" s="173">
        <f>TRUNC((136.87+(14900/2200)),2)</f>
        <v>143.64</v>
      </c>
    </row>
    <row r="19" spans="1:7" ht="22.5" customHeight="1">
      <c r="A19" s="498"/>
      <c r="B19" s="499"/>
      <c r="C19" s="499"/>
      <c r="D19" s="500"/>
      <c r="E19" s="173" t="s">
        <v>203</v>
      </c>
      <c r="F19" s="173"/>
      <c r="G19" s="177">
        <f>MEDIAN(G16:G18)</f>
        <v>143.64</v>
      </c>
    </row>
    <row r="20" spans="1:7" ht="15">
      <c r="A20" s="50"/>
      <c r="B20" s="50"/>
      <c r="C20" s="50"/>
      <c r="D20" s="50"/>
      <c r="E20" s="50"/>
      <c r="F20" s="50"/>
      <c r="G20" s="50"/>
    </row>
    <row r="21" spans="1:7" ht="15">
      <c r="A21" s="50"/>
      <c r="B21" s="50"/>
      <c r="C21" s="50"/>
      <c r="D21" s="50"/>
      <c r="E21" s="50"/>
      <c r="F21" s="50"/>
      <c r="G21" s="50"/>
    </row>
    <row r="22" spans="1:7" ht="15">
      <c r="A22" s="50"/>
      <c r="B22" s="50"/>
      <c r="C22" s="50"/>
      <c r="D22" s="50"/>
      <c r="E22" s="50"/>
      <c r="F22" s="50"/>
      <c r="G22" s="50"/>
    </row>
    <row r="23" spans="1:7" ht="15">
      <c r="A23" s="503"/>
      <c r="B23" s="503"/>
      <c r="C23" s="178"/>
      <c r="D23" s="178"/>
      <c r="E23" s="178"/>
      <c r="F23" s="503"/>
      <c r="G23" s="503"/>
    </row>
    <row r="24" spans="1:7" ht="15">
      <c r="A24" s="503"/>
      <c r="B24" s="503"/>
      <c r="C24" s="178"/>
      <c r="D24" s="178"/>
      <c r="E24" s="178"/>
      <c r="F24" s="503"/>
      <c r="G24" s="503"/>
    </row>
    <row r="25" spans="1:7" ht="15">
      <c r="A25" s="178"/>
      <c r="B25" s="178"/>
      <c r="C25" s="178"/>
      <c r="D25" s="178"/>
      <c r="E25" s="178"/>
      <c r="F25" s="178"/>
      <c r="G25" s="178"/>
    </row>
    <row r="26" spans="1:7" ht="15">
      <c r="A26" s="178"/>
      <c r="B26" s="178"/>
      <c r="C26" s="178"/>
      <c r="D26" s="178"/>
      <c r="E26" s="178"/>
      <c r="F26" s="178"/>
      <c r="G26" s="178"/>
    </row>
    <row r="27" spans="1:7" ht="15">
      <c r="A27" s="178"/>
      <c r="B27" s="178"/>
      <c r="C27" s="178"/>
      <c r="D27" s="178"/>
      <c r="E27" s="178"/>
      <c r="F27" s="178"/>
      <c r="G27" s="178"/>
    </row>
    <row r="28" spans="1:7" ht="15">
      <c r="A28" s="178"/>
      <c r="B28" s="178"/>
      <c r="C28" s="178"/>
      <c r="D28" s="178"/>
      <c r="E28" s="178"/>
      <c r="F28" s="178"/>
      <c r="G28" s="178"/>
    </row>
    <row r="29" spans="1:7" ht="15">
      <c r="A29" s="178"/>
      <c r="B29" s="178"/>
      <c r="C29" s="178"/>
      <c r="D29" s="178"/>
      <c r="E29" s="178"/>
      <c r="F29" s="178"/>
      <c r="G29" s="178"/>
    </row>
    <row r="30" spans="1:7" ht="15">
      <c r="A30" s="503"/>
      <c r="B30" s="503"/>
      <c r="C30" s="503"/>
      <c r="D30" s="503"/>
      <c r="E30" s="178"/>
      <c r="F30" s="178"/>
      <c r="G30" s="178"/>
    </row>
    <row r="31" spans="1:7" ht="15">
      <c r="A31" s="504"/>
      <c r="B31" s="504"/>
      <c r="C31" s="178"/>
      <c r="D31" s="178"/>
      <c r="E31" s="178"/>
      <c r="F31" s="178"/>
      <c r="G31" s="178"/>
    </row>
    <row r="32" spans="1:7" ht="15">
      <c r="A32" s="50"/>
      <c r="B32" s="50"/>
      <c r="C32" s="50"/>
      <c r="D32" s="50"/>
      <c r="E32" s="50"/>
      <c r="F32" s="50"/>
      <c r="G32" s="50"/>
    </row>
  </sheetData>
  <sheetProtection/>
  <mergeCells count="18">
    <mergeCell ref="A23:B23"/>
    <mergeCell ref="F23:G23"/>
    <mergeCell ref="A24:B24"/>
    <mergeCell ref="F24:G24"/>
    <mergeCell ref="A30:D30"/>
    <mergeCell ref="A31:B31"/>
    <mergeCell ref="A10:B10"/>
    <mergeCell ref="A13:B13"/>
    <mergeCell ref="F13:G13"/>
    <mergeCell ref="A14:B14"/>
    <mergeCell ref="F14:G14"/>
    <mergeCell ref="A19:D19"/>
    <mergeCell ref="A1:G1"/>
    <mergeCell ref="A3:B3"/>
    <mergeCell ref="F3:G3"/>
    <mergeCell ref="A4:B4"/>
    <mergeCell ref="F4:G4"/>
    <mergeCell ref="A9:D9"/>
  </mergeCells>
  <printOptions/>
  <pageMargins left="0.5118110236220472" right="0.5118110236220472" top="0.7874015748031497" bottom="0.7874015748031497" header="0.31496062992125984" footer="0.31496062992125984"/>
  <pageSetup horizontalDpi="600" verticalDpi="600" orientation="landscape" paperSize="9" scale="89"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dimension ref="A1:W853"/>
  <sheetViews>
    <sheetView view="pageBreakPreview" zoomScale="70" zoomScaleSheetLayoutView="70" zoomScalePageLayoutView="0" workbookViewId="0" topLeftCell="A1">
      <selection activeCell="D4" sqref="D4:G4"/>
    </sheetView>
  </sheetViews>
  <sheetFormatPr defaultColWidth="9.140625" defaultRowHeight="15"/>
  <cols>
    <col min="1" max="1" width="8.8515625" style="2" customWidth="1"/>
    <col min="2" max="2" width="25.421875" style="0" customWidth="1"/>
    <col min="3" max="3" width="104.00390625" style="1" customWidth="1"/>
    <col min="4" max="4" width="11.140625" style="0" customWidth="1"/>
    <col min="5" max="5" width="13.28125" style="0" customWidth="1"/>
    <col min="6" max="6" width="19.8515625" style="0" bestFit="1" customWidth="1"/>
    <col min="7" max="7" width="22.140625" style="0" customWidth="1"/>
    <col min="8" max="8" width="58.7109375" style="0" bestFit="1" customWidth="1"/>
    <col min="9" max="9" width="11.140625" style="0" bestFit="1" customWidth="1"/>
  </cols>
  <sheetData>
    <row r="1" spans="1:7" ht="15.75">
      <c r="A1" s="3"/>
      <c r="B1" s="51"/>
      <c r="C1" s="4" t="s">
        <v>26</v>
      </c>
      <c r="D1" s="5"/>
      <c r="E1" s="6"/>
      <c r="F1" s="40"/>
      <c r="G1" s="41"/>
    </row>
    <row r="2" spans="1:7" ht="15.75">
      <c r="A2" s="7"/>
      <c r="B2" s="52"/>
      <c r="C2" s="8" t="s">
        <v>27</v>
      </c>
      <c r="D2" s="9"/>
      <c r="E2" s="10"/>
      <c r="F2" s="42"/>
      <c r="G2" s="43"/>
    </row>
    <row r="3" spans="1:7" ht="15.75">
      <c r="A3" s="7"/>
      <c r="B3" s="52"/>
      <c r="C3" s="8" t="s">
        <v>28</v>
      </c>
      <c r="D3" s="514" t="s">
        <v>698</v>
      </c>
      <c r="E3" s="515"/>
      <c r="F3" s="515"/>
      <c r="G3" s="516"/>
    </row>
    <row r="4" spans="1:7" ht="15.75" customHeight="1">
      <c r="A4" s="7"/>
      <c r="B4" s="52"/>
      <c r="C4" s="11" t="s">
        <v>45</v>
      </c>
      <c r="D4" s="517" t="s">
        <v>907</v>
      </c>
      <c r="E4" s="518"/>
      <c r="F4" s="518"/>
      <c r="G4" s="519"/>
    </row>
    <row r="5" spans="1:7" ht="15.75">
      <c r="A5" s="7"/>
      <c r="B5" s="52"/>
      <c r="C5" s="22" t="s">
        <v>44</v>
      </c>
      <c r="D5" s="520" t="s">
        <v>46</v>
      </c>
      <c r="E5" s="521"/>
      <c r="F5" s="521"/>
      <c r="G5" s="522"/>
    </row>
    <row r="6" spans="1:7" ht="15.75">
      <c r="A6" s="7"/>
      <c r="B6" s="52"/>
      <c r="C6" s="12" t="s">
        <v>449</v>
      </c>
      <c r="D6" s="523" t="s">
        <v>47</v>
      </c>
      <c r="E6" s="524"/>
      <c r="F6" s="524"/>
      <c r="G6" s="525"/>
    </row>
    <row r="7" spans="1:7" ht="15.75">
      <c r="A7" s="7"/>
      <c r="B7" s="52"/>
      <c r="C7" s="13" t="s">
        <v>206</v>
      </c>
      <c r="D7" s="523" t="s">
        <v>32</v>
      </c>
      <c r="E7" s="524"/>
      <c r="F7" s="524"/>
      <c r="G7" s="525"/>
    </row>
    <row r="8" spans="1:7" ht="15.75">
      <c r="A8" s="53"/>
      <c r="B8" s="54"/>
      <c r="C8" s="55"/>
      <c r="D8" s="526" t="s">
        <v>752</v>
      </c>
      <c r="E8" s="527"/>
      <c r="F8" s="527"/>
      <c r="G8" s="528"/>
    </row>
    <row r="9" spans="1:7" ht="20.25" customHeight="1">
      <c r="A9" s="505" t="s">
        <v>450</v>
      </c>
      <c r="B9" s="506"/>
      <c r="C9" s="506"/>
      <c r="D9" s="506"/>
      <c r="E9" s="506"/>
      <c r="F9" s="506"/>
      <c r="G9" s="506"/>
    </row>
    <row r="10" spans="1:7" ht="15.75">
      <c r="A10" s="507" t="s">
        <v>29</v>
      </c>
      <c r="B10" s="509" t="s">
        <v>30</v>
      </c>
      <c r="C10" s="511" t="s">
        <v>31</v>
      </c>
      <c r="D10" s="507" t="s">
        <v>9</v>
      </c>
      <c r="E10" s="512" t="s">
        <v>113</v>
      </c>
      <c r="F10" s="512" t="s">
        <v>114</v>
      </c>
      <c r="G10" s="512"/>
    </row>
    <row r="11" spans="1:7" ht="15.75">
      <c r="A11" s="508"/>
      <c r="B11" s="510"/>
      <c r="C11" s="509"/>
      <c r="D11" s="508"/>
      <c r="E11" s="513"/>
      <c r="F11" s="56" t="s">
        <v>115</v>
      </c>
      <c r="G11" s="57" t="s">
        <v>3</v>
      </c>
    </row>
    <row r="12" spans="1:7" s="19" customFormat="1" ht="15.75">
      <c r="A12" s="58" t="s">
        <v>18</v>
      </c>
      <c r="B12" s="59"/>
      <c r="C12" s="60" t="s">
        <v>19</v>
      </c>
      <c r="D12" s="59"/>
      <c r="E12" s="59"/>
      <c r="F12" s="59"/>
      <c r="G12" s="61"/>
    </row>
    <row r="13" spans="1:9" ht="30">
      <c r="A13" s="21" t="s">
        <v>4</v>
      </c>
      <c r="B13" s="45" t="s">
        <v>781</v>
      </c>
      <c r="C13" s="15" t="s">
        <v>80</v>
      </c>
      <c r="D13" s="45" t="s">
        <v>0</v>
      </c>
      <c r="E13" s="62"/>
      <c r="F13" s="46">
        <v>322.53</v>
      </c>
      <c r="G13" s="63">
        <f>TRUNC((E13*F13),2)</f>
        <v>0</v>
      </c>
      <c r="H13" s="36" t="s">
        <v>793</v>
      </c>
      <c r="I13" s="44"/>
    </row>
    <row r="14" spans="1:7" ht="15.75">
      <c r="A14" s="64"/>
      <c r="B14" s="47" t="s">
        <v>781</v>
      </c>
      <c r="C14" s="16" t="s">
        <v>782</v>
      </c>
      <c r="D14" s="47" t="s">
        <v>0</v>
      </c>
      <c r="E14" s="47">
        <v>1</v>
      </c>
      <c r="F14" s="65">
        <f>TRUNC(405.2732,2)</f>
        <v>405.27</v>
      </c>
      <c r="G14" s="66">
        <f aca="true" t="shared" si="0" ref="G14:G21">TRUNC(E14*F14,2)</f>
        <v>405.27</v>
      </c>
    </row>
    <row r="15" spans="1:7" ht="15.75">
      <c r="A15" s="67"/>
      <c r="B15" s="68" t="s">
        <v>783</v>
      </c>
      <c r="C15" s="69" t="s">
        <v>784</v>
      </c>
      <c r="D15" s="68" t="s">
        <v>125</v>
      </c>
      <c r="E15" s="68">
        <v>0.11</v>
      </c>
      <c r="F15" s="70">
        <f>TRUNC(10.12,2)</f>
        <v>10.12</v>
      </c>
      <c r="G15" s="71">
        <f t="shared" si="0"/>
        <v>1.11</v>
      </c>
    </row>
    <row r="16" spans="1:7" ht="30">
      <c r="A16" s="67"/>
      <c r="B16" s="68" t="s">
        <v>785</v>
      </c>
      <c r="C16" s="69" t="s">
        <v>786</v>
      </c>
      <c r="D16" s="68" t="s">
        <v>0</v>
      </c>
      <c r="E16" s="68">
        <v>1</v>
      </c>
      <c r="F16" s="70">
        <f>TRUNC(300,2)</f>
        <v>300</v>
      </c>
      <c r="G16" s="71">
        <f t="shared" si="0"/>
        <v>300</v>
      </c>
    </row>
    <row r="17" spans="1:7" ht="15.75">
      <c r="A17" s="67"/>
      <c r="B17" s="68" t="s">
        <v>787</v>
      </c>
      <c r="C17" s="69" t="s">
        <v>788</v>
      </c>
      <c r="D17" s="68" t="s">
        <v>2</v>
      </c>
      <c r="E17" s="68">
        <v>4</v>
      </c>
      <c r="F17" s="70">
        <f>TRUNC(6.68,2)</f>
        <v>6.68</v>
      </c>
      <c r="G17" s="71">
        <f t="shared" si="0"/>
        <v>26.72</v>
      </c>
    </row>
    <row r="18" spans="1:7" ht="30">
      <c r="A18" s="67"/>
      <c r="B18" s="68" t="s">
        <v>789</v>
      </c>
      <c r="C18" s="69" t="s">
        <v>790</v>
      </c>
      <c r="D18" s="68" t="s">
        <v>2</v>
      </c>
      <c r="E18" s="68">
        <v>1</v>
      </c>
      <c r="F18" s="70">
        <f>TRUNC(7.25,2)</f>
        <v>7.25</v>
      </c>
      <c r="G18" s="71">
        <f t="shared" si="0"/>
        <v>7.25</v>
      </c>
    </row>
    <row r="19" spans="1:7" ht="15.75">
      <c r="A19" s="67"/>
      <c r="B19" s="68" t="s">
        <v>243</v>
      </c>
      <c r="C19" s="69" t="s">
        <v>178</v>
      </c>
      <c r="D19" s="68" t="s">
        <v>128</v>
      </c>
      <c r="E19" s="68">
        <v>2</v>
      </c>
      <c r="F19" s="70">
        <f>TRUNC(20.74,2)</f>
        <v>20.74</v>
      </c>
      <c r="G19" s="71">
        <f t="shared" si="0"/>
        <v>41.48</v>
      </c>
    </row>
    <row r="20" spans="1:7" ht="15.75">
      <c r="A20" s="67"/>
      <c r="B20" s="68" t="s">
        <v>355</v>
      </c>
      <c r="C20" s="69" t="s">
        <v>356</v>
      </c>
      <c r="D20" s="68" t="s">
        <v>128</v>
      </c>
      <c r="E20" s="68">
        <v>1</v>
      </c>
      <c r="F20" s="70">
        <f>TRUNC(26.17,2)</f>
        <v>26.17</v>
      </c>
      <c r="G20" s="71">
        <f t="shared" si="0"/>
        <v>26.17</v>
      </c>
    </row>
    <row r="21" spans="1:7" ht="30">
      <c r="A21" s="67"/>
      <c r="B21" s="68" t="s">
        <v>791</v>
      </c>
      <c r="C21" s="69" t="s">
        <v>792</v>
      </c>
      <c r="D21" s="68" t="s">
        <v>1</v>
      </c>
      <c r="E21" s="68">
        <v>0.01</v>
      </c>
      <c r="F21" s="70">
        <f>TRUNC(254,2)</f>
        <v>254</v>
      </c>
      <c r="G21" s="71">
        <f t="shared" si="0"/>
        <v>2.54</v>
      </c>
    </row>
    <row r="22" spans="1:7" ht="15.75">
      <c r="A22" s="67"/>
      <c r="B22" s="68"/>
      <c r="C22" s="69"/>
      <c r="D22" s="68"/>
      <c r="E22" s="68" t="s">
        <v>3</v>
      </c>
      <c r="F22" s="70"/>
      <c r="G22" s="71">
        <f>TRUNC(SUM(G15:G21),2)</f>
        <v>405.27</v>
      </c>
    </row>
    <row r="23" spans="1:8" ht="60">
      <c r="A23" s="29" t="s">
        <v>5</v>
      </c>
      <c r="B23" s="48" t="s">
        <v>794</v>
      </c>
      <c r="C23" s="14" t="s">
        <v>81</v>
      </c>
      <c r="D23" s="48" t="s">
        <v>48</v>
      </c>
      <c r="E23" s="72"/>
      <c r="F23" s="72">
        <v>400</v>
      </c>
      <c r="G23" s="73">
        <f>TRUNC((E23*F23),2)</f>
        <v>0</v>
      </c>
      <c r="H23" s="36" t="s">
        <v>799</v>
      </c>
    </row>
    <row r="24" spans="1:7" ht="45">
      <c r="A24" s="64"/>
      <c r="B24" s="47" t="s">
        <v>794</v>
      </c>
      <c r="C24" s="16" t="s">
        <v>795</v>
      </c>
      <c r="D24" s="47" t="s">
        <v>796</v>
      </c>
      <c r="E24" s="47">
        <v>1</v>
      </c>
      <c r="F24" s="47">
        <f>TRUNC(491.01,2)</f>
        <v>491.01</v>
      </c>
      <c r="G24" s="66">
        <f>TRUNC(E24*F24,2)</f>
        <v>491.01</v>
      </c>
    </row>
    <row r="25" spans="1:7" ht="30">
      <c r="A25" s="67"/>
      <c r="B25" s="68" t="s">
        <v>797</v>
      </c>
      <c r="C25" s="69" t="s">
        <v>798</v>
      </c>
      <c r="D25" s="68" t="s">
        <v>796</v>
      </c>
      <c r="E25" s="68">
        <v>1</v>
      </c>
      <c r="F25" s="68">
        <f>TRUNC(491.01,2)</f>
        <v>491.01</v>
      </c>
      <c r="G25" s="71">
        <f>TRUNC(E25*F25,2)</f>
        <v>491.01</v>
      </c>
    </row>
    <row r="26" spans="1:7" ht="15.75">
      <c r="A26" s="115"/>
      <c r="B26" s="117"/>
      <c r="C26" s="116"/>
      <c r="D26" s="117"/>
      <c r="E26" s="117" t="s">
        <v>3</v>
      </c>
      <c r="F26" s="117"/>
      <c r="G26" s="104">
        <f>TRUNC(SUM(G25:G25),2)</f>
        <v>491.01</v>
      </c>
    </row>
    <row r="27" spans="1:8" ht="30">
      <c r="A27" s="29" t="s">
        <v>6</v>
      </c>
      <c r="B27" s="48" t="s">
        <v>217</v>
      </c>
      <c r="C27" s="14" t="s">
        <v>82</v>
      </c>
      <c r="D27" s="48" t="s">
        <v>49</v>
      </c>
      <c r="E27" s="72"/>
      <c r="F27" s="48">
        <f>TRUNC(F28,2)</f>
        <v>22.92</v>
      </c>
      <c r="G27" s="73">
        <f>TRUNC((E27*F27),2)</f>
        <v>0</v>
      </c>
      <c r="H27" s="36"/>
    </row>
    <row r="28" spans="1:7" ht="30">
      <c r="A28" s="64"/>
      <c r="B28" s="47" t="s">
        <v>217</v>
      </c>
      <c r="C28" s="16" t="s">
        <v>218</v>
      </c>
      <c r="D28" s="47" t="s">
        <v>49</v>
      </c>
      <c r="E28" s="47">
        <v>1</v>
      </c>
      <c r="F28" s="65">
        <f>G31</f>
        <v>22.92</v>
      </c>
      <c r="G28" s="66">
        <f>TRUNC(E28*F28,2)</f>
        <v>22.92</v>
      </c>
    </row>
    <row r="29" spans="1:7" ht="15.75">
      <c r="A29" s="67"/>
      <c r="B29" s="68" t="s">
        <v>219</v>
      </c>
      <c r="C29" s="69" t="s">
        <v>220</v>
      </c>
      <c r="D29" s="68" t="s">
        <v>128</v>
      </c>
      <c r="E29" s="68">
        <v>0.1192</v>
      </c>
      <c r="F29" s="70">
        <f>TRUNC(34.46,2)</f>
        <v>34.46</v>
      </c>
      <c r="G29" s="71">
        <f>TRUNC(E29*F29,2)</f>
        <v>4.1</v>
      </c>
    </row>
    <row r="30" spans="1:7" ht="15.75">
      <c r="A30" s="67"/>
      <c r="B30" s="68" t="s">
        <v>221</v>
      </c>
      <c r="C30" s="69" t="s">
        <v>222</v>
      </c>
      <c r="D30" s="68" t="s">
        <v>128</v>
      </c>
      <c r="E30" s="68">
        <v>0.1192</v>
      </c>
      <c r="F30" s="70">
        <f>TRUNC(157.9625,2)</f>
        <v>157.96</v>
      </c>
      <c r="G30" s="71">
        <f>TRUNC(E30*F30,2)</f>
        <v>18.82</v>
      </c>
    </row>
    <row r="31" spans="1:7" ht="15.75">
      <c r="A31" s="67"/>
      <c r="B31" s="68"/>
      <c r="C31" s="69"/>
      <c r="D31" s="68"/>
      <c r="E31" s="68" t="s">
        <v>3</v>
      </c>
      <c r="F31" s="70"/>
      <c r="G31" s="71">
        <f>TRUNC(SUM(G29:G30),2)</f>
        <v>22.92</v>
      </c>
    </row>
    <row r="32" spans="1:7" ht="30">
      <c r="A32" s="29" t="s">
        <v>7</v>
      </c>
      <c r="B32" s="48" t="s">
        <v>223</v>
      </c>
      <c r="C32" s="14" t="s">
        <v>83</v>
      </c>
      <c r="D32" s="48" t="s">
        <v>9</v>
      </c>
      <c r="E32" s="72"/>
      <c r="F32" s="48">
        <f>TRUNC(F33,2)</f>
        <v>62.68</v>
      </c>
      <c r="G32" s="73">
        <f>TRUNC((E32*F32),2)</f>
        <v>0</v>
      </c>
    </row>
    <row r="33" spans="1:7" ht="30">
      <c r="A33" s="64"/>
      <c r="B33" s="47" t="s">
        <v>223</v>
      </c>
      <c r="C33" s="16" t="s">
        <v>224</v>
      </c>
      <c r="D33" s="47" t="s">
        <v>9</v>
      </c>
      <c r="E33" s="47">
        <v>1</v>
      </c>
      <c r="F33" s="65">
        <f>G40</f>
        <v>62.68</v>
      </c>
      <c r="G33" s="66">
        <f aca="true" t="shared" si="1" ref="G33:G39">TRUNC(E33*F33,2)</f>
        <v>62.68</v>
      </c>
    </row>
    <row r="34" spans="1:7" ht="15.75">
      <c r="A34" s="67"/>
      <c r="B34" s="68" t="s">
        <v>209</v>
      </c>
      <c r="C34" s="69" t="s">
        <v>210</v>
      </c>
      <c r="D34" s="68" t="s">
        <v>128</v>
      </c>
      <c r="E34" s="68">
        <v>1.03412</v>
      </c>
      <c r="F34" s="70">
        <f>TRUNC(14.47,2)</f>
        <v>14.47</v>
      </c>
      <c r="G34" s="71">
        <f t="shared" si="1"/>
        <v>14.96</v>
      </c>
    </row>
    <row r="35" spans="1:7" ht="15.75">
      <c r="A35" s="67"/>
      <c r="B35" s="68" t="s">
        <v>219</v>
      </c>
      <c r="C35" s="69" t="s">
        <v>220</v>
      </c>
      <c r="D35" s="68" t="s">
        <v>128</v>
      </c>
      <c r="E35" s="68">
        <v>0.208</v>
      </c>
      <c r="F35" s="70">
        <f>TRUNC(34.46,2)</f>
        <v>34.46</v>
      </c>
      <c r="G35" s="71">
        <f t="shared" si="1"/>
        <v>7.16</v>
      </c>
    </row>
    <row r="36" spans="1:7" ht="15.75">
      <c r="A36" s="67"/>
      <c r="B36" s="68" t="s">
        <v>225</v>
      </c>
      <c r="C36" s="69" t="s">
        <v>226</v>
      </c>
      <c r="D36" s="68" t="s">
        <v>128</v>
      </c>
      <c r="E36" s="68">
        <v>0.129</v>
      </c>
      <c r="F36" s="70">
        <f>TRUNC(38.3752,2)</f>
        <v>38.37</v>
      </c>
      <c r="G36" s="71">
        <f t="shared" si="1"/>
        <v>4.94</v>
      </c>
    </row>
    <row r="37" spans="1:7" ht="15.75">
      <c r="A37" s="67"/>
      <c r="B37" s="68" t="s">
        <v>227</v>
      </c>
      <c r="C37" s="69" t="s">
        <v>228</v>
      </c>
      <c r="D37" s="68" t="s">
        <v>128</v>
      </c>
      <c r="E37" s="68">
        <v>0.208</v>
      </c>
      <c r="F37" s="70">
        <f>TRUNC(49.5491,2)</f>
        <v>49.54</v>
      </c>
      <c r="G37" s="71">
        <f t="shared" si="1"/>
        <v>10.3</v>
      </c>
    </row>
    <row r="38" spans="1:7" ht="15.75">
      <c r="A38" s="67"/>
      <c r="B38" s="68" t="s">
        <v>229</v>
      </c>
      <c r="C38" s="69" t="s">
        <v>230</v>
      </c>
      <c r="D38" s="68" t="s">
        <v>128</v>
      </c>
      <c r="E38" s="68">
        <v>0.219</v>
      </c>
      <c r="F38" s="70">
        <f>TRUNC(61.5674,2)</f>
        <v>61.56</v>
      </c>
      <c r="G38" s="71">
        <f t="shared" si="1"/>
        <v>13.48</v>
      </c>
    </row>
    <row r="39" spans="1:7" ht="15.75">
      <c r="A39" s="67"/>
      <c r="B39" s="68" t="s">
        <v>221</v>
      </c>
      <c r="C39" s="69" t="s">
        <v>222</v>
      </c>
      <c r="D39" s="68" t="s">
        <v>128</v>
      </c>
      <c r="E39" s="68">
        <v>0.075</v>
      </c>
      <c r="F39" s="70">
        <f>TRUNC(157.9625,2)</f>
        <v>157.96</v>
      </c>
      <c r="G39" s="71">
        <f t="shared" si="1"/>
        <v>11.84</v>
      </c>
    </row>
    <row r="40" spans="1:7" ht="15.75">
      <c r="A40" s="67"/>
      <c r="B40" s="68"/>
      <c r="C40" s="69"/>
      <c r="D40" s="68"/>
      <c r="E40" s="68" t="s">
        <v>3</v>
      </c>
      <c r="F40" s="70"/>
      <c r="G40" s="71">
        <f>TRUNC(SUM(G34:G39),2)</f>
        <v>62.68</v>
      </c>
    </row>
    <row r="41" spans="1:8" ht="30">
      <c r="A41" s="29" t="s">
        <v>8</v>
      </c>
      <c r="B41" s="48" t="s">
        <v>217</v>
      </c>
      <c r="C41" s="14" t="s">
        <v>82</v>
      </c>
      <c r="D41" s="48" t="s">
        <v>49</v>
      </c>
      <c r="E41" s="72"/>
      <c r="F41" s="48">
        <f>TRUNC(F42,2)</f>
        <v>22.92</v>
      </c>
      <c r="G41" s="73">
        <f>TRUNC((E41*F41),2)</f>
        <v>0</v>
      </c>
      <c r="H41" s="36"/>
    </row>
    <row r="42" spans="1:7" ht="30">
      <c r="A42" s="64"/>
      <c r="B42" s="47" t="s">
        <v>217</v>
      </c>
      <c r="C42" s="16" t="s">
        <v>218</v>
      </c>
      <c r="D42" s="47" t="s">
        <v>49</v>
      </c>
      <c r="E42" s="47">
        <v>1</v>
      </c>
      <c r="F42" s="65">
        <f>G45</f>
        <v>22.92</v>
      </c>
      <c r="G42" s="66">
        <f>TRUNC(E42*F42,2)</f>
        <v>22.92</v>
      </c>
    </row>
    <row r="43" spans="1:7" ht="15.75">
      <c r="A43" s="67"/>
      <c r="B43" s="68" t="s">
        <v>219</v>
      </c>
      <c r="C43" s="69" t="s">
        <v>220</v>
      </c>
      <c r="D43" s="68" t="s">
        <v>128</v>
      </c>
      <c r="E43" s="68">
        <v>0.1192</v>
      </c>
      <c r="F43" s="70">
        <f>TRUNC(34.46,2)</f>
        <v>34.46</v>
      </c>
      <c r="G43" s="71">
        <f>TRUNC(E43*F43,2)</f>
        <v>4.1</v>
      </c>
    </row>
    <row r="44" spans="1:7" ht="15.75">
      <c r="A44" s="67"/>
      <c r="B44" s="68" t="s">
        <v>221</v>
      </c>
      <c r="C44" s="69" t="s">
        <v>222</v>
      </c>
      <c r="D44" s="68" t="s">
        <v>128</v>
      </c>
      <c r="E44" s="68">
        <v>0.1192</v>
      </c>
      <c r="F44" s="70">
        <f>TRUNC(157.9625,2)</f>
        <v>157.96</v>
      </c>
      <c r="G44" s="71">
        <f>TRUNC(E44*F44,2)</f>
        <v>18.82</v>
      </c>
    </row>
    <row r="45" spans="1:7" ht="15.75">
      <c r="A45" s="67"/>
      <c r="B45" s="68"/>
      <c r="C45" s="69"/>
      <c r="D45" s="68"/>
      <c r="E45" s="68" t="s">
        <v>3</v>
      </c>
      <c r="F45" s="70"/>
      <c r="G45" s="71">
        <f>TRUNC(SUM(G43:G44),2)</f>
        <v>22.92</v>
      </c>
    </row>
    <row r="46" spans="1:7" ht="30">
      <c r="A46" s="29" t="s">
        <v>50</v>
      </c>
      <c r="B46" s="48" t="s">
        <v>223</v>
      </c>
      <c r="C46" s="14" t="s">
        <v>83</v>
      </c>
      <c r="D46" s="48" t="s">
        <v>9</v>
      </c>
      <c r="E46" s="72"/>
      <c r="F46" s="48">
        <f>TRUNC(F47,2)</f>
        <v>62.68</v>
      </c>
      <c r="G46" s="73">
        <f>TRUNC((E46*F46),2)</f>
        <v>0</v>
      </c>
    </row>
    <row r="47" spans="1:7" ht="30">
      <c r="A47" s="64"/>
      <c r="B47" s="47" t="s">
        <v>223</v>
      </c>
      <c r="C47" s="16" t="s">
        <v>224</v>
      </c>
      <c r="D47" s="47" t="s">
        <v>9</v>
      </c>
      <c r="E47" s="47">
        <v>1</v>
      </c>
      <c r="F47" s="65">
        <f>G54</f>
        <v>62.68</v>
      </c>
      <c r="G47" s="66">
        <f aca="true" t="shared" si="2" ref="G47:G53">TRUNC(E47*F47,2)</f>
        <v>62.68</v>
      </c>
    </row>
    <row r="48" spans="1:7" ht="15.75">
      <c r="A48" s="67"/>
      <c r="B48" s="68" t="s">
        <v>209</v>
      </c>
      <c r="C48" s="69" t="s">
        <v>210</v>
      </c>
      <c r="D48" s="68" t="s">
        <v>128</v>
      </c>
      <c r="E48" s="68">
        <v>1.03412</v>
      </c>
      <c r="F48" s="70">
        <f>TRUNC(14.47,2)</f>
        <v>14.47</v>
      </c>
      <c r="G48" s="71">
        <f t="shared" si="2"/>
        <v>14.96</v>
      </c>
    </row>
    <row r="49" spans="1:7" ht="15.75">
      <c r="A49" s="67"/>
      <c r="B49" s="68" t="s">
        <v>219</v>
      </c>
      <c r="C49" s="69" t="s">
        <v>220</v>
      </c>
      <c r="D49" s="68" t="s">
        <v>128</v>
      </c>
      <c r="E49" s="68">
        <v>0.208</v>
      </c>
      <c r="F49" s="70">
        <f>TRUNC(34.46,2)</f>
        <v>34.46</v>
      </c>
      <c r="G49" s="71">
        <f t="shared" si="2"/>
        <v>7.16</v>
      </c>
    </row>
    <row r="50" spans="1:7" ht="15.75">
      <c r="A50" s="67"/>
      <c r="B50" s="68" t="s">
        <v>225</v>
      </c>
      <c r="C50" s="69" t="s">
        <v>226</v>
      </c>
      <c r="D50" s="68" t="s">
        <v>128</v>
      </c>
      <c r="E50" s="68">
        <v>0.129</v>
      </c>
      <c r="F50" s="70">
        <f>TRUNC(38.3752,2)</f>
        <v>38.37</v>
      </c>
      <c r="G50" s="71">
        <f t="shared" si="2"/>
        <v>4.94</v>
      </c>
    </row>
    <row r="51" spans="1:7" ht="15.75">
      <c r="A51" s="67"/>
      <c r="B51" s="68" t="s">
        <v>227</v>
      </c>
      <c r="C51" s="69" t="s">
        <v>228</v>
      </c>
      <c r="D51" s="68" t="s">
        <v>128</v>
      </c>
      <c r="E51" s="68">
        <v>0.208</v>
      </c>
      <c r="F51" s="70">
        <f>TRUNC(49.5491,2)</f>
        <v>49.54</v>
      </c>
      <c r="G51" s="71">
        <f t="shared" si="2"/>
        <v>10.3</v>
      </c>
    </row>
    <row r="52" spans="1:7" ht="15.75">
      <c r="A52" s="67"/>
      <c r="B52" s="68" t="s">
        <v>229</v>
      </c>
      <c r="C52" s="69" t="s">
        <v>230</v>
      </c>
      <c r="D52" s="68" t="s">
        <v>128</v>
      </c>
      <c r="E52" s="68">
        <v>0.219</v>
      </c>
      <c r="F52" s="70">
        <f>TRUNC(61.5674,2)</f>
        <v>61.56</v>
      </c>
      <c r="G52" s="71">
        <f t="shared" si="2"/>
        <v>13.48</v>
      </c>
    </row>
    <row r="53" spans="1:7" ht="15.75">
      <c r="A53" s="67"/>
      <c r="B53" s="68" t="s">
        <v>221</v>
      </c>
      <c r="C53" s="69" t="s">
        <v>222</v>
      </c>
      <c r="D53" s="68" t="s">
        <v>128</v>
      </c>
      <c r="E53" s="68">
        <v>0.075</v>
      </c>
      <c r="F53" s="70">
        <f>TRUNC(157.9625,2)</f>
        <v>157.96</v>
      </c>
      <c r="G53" s="71">
        <f t="shared" si="2"/>
        <v>11.84</v>
      </c>
    </row>
    <row r="54" spans="1:7" ht="15.75">
      <c r="A54" s="67"/>
      <c r="B54" s="68"/>
      <c r="C54" s="69"/>
      <c r="D54" s="68"/>
      <c r="E54" s="68" t="s">
        <v>3</v>
      </c>
      <c r="F54" s="70"/>
      <c r="G54" s="71">
        <f>TRUNC(SUM(G48:G53),2)</f>
        <v>62.68</v>
      </c>
    </row>
    <row r="55" spans="1:8" ht="60">
      <c r="A55" s="21" t="s">
        <v>51</v>
      </c>
      <c r="B55" s="15" t="s">
        <v>231</v>
      </c>
      <c r="C55" s="15" t="s">
        <v>84</v>
      </c>
      <c r="D55" s="45" t="s">
        <v>48</v>
      </c>
      <c r="E55" s="62"/>
      <c r="F55" s="45">
        <f>TRUNC(F56,2)</f>
        <v>867.22</v>
      </c>
      <c r="G55" s="63">
        <f>TRUNC((E55*F55),2)</f>
        <v>0</v>
      </c>
      <c r="H55" s="36"/>
    </row>
    <row r="56" spans="1:7" ht="75">
      <c r="A56" s="64"/>
      <c r="B56" s="47" t="s">
        <v>231</v>
      </c>
      <c r="C56" s="16" t="s">
        <v>232</v>
      </c>
      <c r="D56" s="47" t="s">
        <v>48</v>
      </c>
      <c r="E56" s="47">
        <v>1</v>
      </c>
      <c r="F56" s="47">
        <f>TRUNC(867.22,2)</f>
        <v>867.22</v>
      </c>
      <c r="G56" s="66">
        <f>TRUNC(E56*F56,2)</f>
        <v>867.22</v>
      </c>
    </row>
    <row r="57" spans="1:7" ht="30">
      <c r="A57" s="67"/>
      <c r="B57" s="68" t="s">
        <v>129</v>
      </c>
      <c r="C57" s="69" t="s">
        <v>233</v>
      </c>
      <c r="D57" s="68" t="s">
        <v>130</v>
      </c>
      <c r="E57" s="68">
        <v>1</v>
      </c>
      <c r="F57" s="68">
        <f>TRUNC(867.22,2)</f>
        <v>867.22</v>
      </c>
      <c r="G57" s="71">
        <f>TRUNC(E57*F57,2)</f>
        <v>867.22</v>
      </c>
    </row>
    <row r="58" spans="1:7" ht="15.75">
      <c r="A58" s="67"/>
      <c r="B58" s="68"/>
      <c r="C58" s="69"/>
      <c r="D58" s="68"/>
      <c r="E58" s="68" t="s">
        <v>3</v>
      </c>
      <c r="F58" s="68"/>
      <c r="G58" s="71">
        <f>TRUNC(SUM(G57:G57),2)</f>
        <v>867.22</v>
      </c>
    </row>
    <row r="59" spans="1:8" s="23" customFormat="1" ht="30">
      <c r="A59" s="31" t="s">
        <v>52</v>
      </c>
      <c r="B59" s="87" t="s">
        <v>234</v>
      </c>
      <c r="C59" s="87" t="s">
        <v>85</v>
      </c>
      <c r="D59" s="86" t="s">
        <v>0</v>
      </c>
      <c r="E59" s="172"/>
      <c r="F59" s="86">
        <f>TRUNC(F60,2)</f>
        <v>0.84</v>
      </c>
      <c r="G59" s="73">
        <f>TRUNC((E59*F59),2)</f>
        <v>0</v>
      </c>
      <c r="H59" s="32"/>
    </row>
    <row r="60" spans="1:7" ht="60">
      <c r="A60" s="64"/>
      <c r="B60" s="47" t="s">
        <v>234</v>
      </c>
      <c r="C60" s="16" t="s">
        <v>235</v>
      </c>
      <c r="D60" s="47" t="s">
        <v>0</v>
      </c>
      <c r="E60" s="47">
        <v>1</v>
      </c>
      <c r="F60" s="47">
        <f>TRUNC(0.84651,2)</f>
        <v>0.84</v>
      </c>
      <c r="G60" s="66">
        <f>TRUNC(E60*F60,2)</f>
        <v>0.84</v>
      </c>
    </row>
    <row r="61" spans="1:7" ht="15.75">
      <c r="A61" s="67"/>
      <c r="B61" s="68" t="s">
        <v>131</v>
      </c>
      <c r="C61" s="69" t="s">
        <v>236</v>
      </c>
      <c r="D61" s="68" t="s">
        <v>2</v>
      </c>
      <c r="E61" s="68">
        <v>0.609</v>
      </c>
      <c r="F61" s="68">
        <f>TRUNC(1.39,2)</f>
        <v>1.39</v>
      </c>
      <c r="G61" s="71">
        <f>TRUNC(E61*F61,2)</f>
        <v>0.84</v>
      </c>
    </row>
    <row r="62" spans="1:7" ht="15.75">
      <c r="A62" s="67"/>
      <c r="B62" s="68"/>
      <c r="C62" s="69"/>
      <c r="D62" s="68"/>
      <c r="E62" s="68" t="s">
        <v>3</v>
      </c>
      <c r="F62" s="68"/>
      <c r="G62" s="71">
        <f>TRUNC(SUM(G61:G61),2)</f>
        <v>0.84</v>
      </c>
    </row>
    <row r="63" spans="1:7" ht="30">
      <c r="A63" s="29" t="s">
        <v>67</v>
      </c>
      <c r="B63" s="14" t="s">
        <v>237</v>
      </c>
      <c r="C63" s="14" t="s">
        <v>86</v>
      </c>
      <c r="D63" s="48" t="s">
        <v>2</v>
      </c>
      <c r="E63" s="74"/>
      <c r="F63" s="48">
        <f>TRUNC(F64,2)</f>
        <v>16.39</v>
      </c>
      <c r="G63" s="73">
        <f>TRUNC((E63*F63),2)</f>
        <v>0</v>
      </c>
    </row>
    <row r="64" spans="1:7" ht="45">
      <c r="A64" s="64"/>
      <c r="B64" s="47" t="s">
        <v>237</v>
      </c>
      <c r="C64" s="16" t="s">
        <v>238</v>
      </c>
      <c r="D64" s="47" t="s">
        <v>2</v>
      </c>
      <c r="E64" s="47">
        <v>1</v>
      </c>
      <c r="F64" s="47">
        <f>TRUNC(16.39451,2)</f>
        <v>16.39</v>
      </c>
      <c r="G64" s="66">
        <f>TRUNC(E64*F64,2)</f>
        <v>16.39</v>
      </c>
    </row>
    <row r="65" spans="1:7" ht="15.75">
      <c r="A65" s="67"/>
      <c r="B65" s="68" t="s">
        <v>209</v>
      </c>
      <c r="C65" s="69" t="s">
        <v>210</v>
      </c>
      <c r="D65" s="68" t="s">
        <v>128</v>
      </c>
      <c r="E65" s="68">
        <v>1.1330000000000002</v>
      </c>
      <c r="F65" s="68">
        <f>TRUNC(14.47,2)</f>
        <v>14.47</v>
      </c>
      <c r="G65" s="71">
        <f>TRUNC(E65*F65,2)</f>
        <v>16.39</v>
      </c>
    </row>
    <row r="66" spans="1:7" ht="15.75">
      <c r="A66" s="67"/>
      <c r="B66" s="68"/>
      <c r="C66" s="69"/>
      <c r="D66" s="68"/>
      <c r="E66" s="68" t="s">
        <v>3</v>
      </c>
      <c r="F66" s="68"/>
      <c r="G66" s="71">
        <f>TRUNC(SUM(G65:G65),2)</f>
        <v>16.39</v>
      </c>
    </row>
    <row r="67" spans="1:8" s="20" customFormat="1" ht="45.75">
      <c r="A67" s="31" t="s">
        <v>68</v>
      </c>
      <c r="B67" s="86" t="s">
        <v>800</v>
      </c>
      <c r="C67" s="87" t="s">
        <v>836</v>
      </c>
      <c r="D67" s="86" t="s">
        <v>0</v>
      </c>
      <c r="E67" s="88"/>
      <c r="F67" s="99">
        <v>6.72</v>
      </c>
      <c r="G67" s="73">
        <f>TRUNC((E67*F67),2)</f>
        <v>0</v>
      </c>
      <c r="H67" s="34" t="s">
        <v>835</v>
      </c>
    </row>
    <row r="68" spans="1:8" s="20" customFormat="1" ht="30">
      <c r="A68" s="82"/>
      <c r="B68" s="83" t="s">
        <v>800</v>
      </c>
      <c r="C68" s="84" t="s">
        <v>801</v>
      </c>
      <c r="D68" s="83" t="s">
        <v>802</v>
      </c>
      <c r="E68" s="131">
        <f>0.08</f>
        <v>0.08</v>
      </c>
      <c r="F68" s="85">
        <f>G78</f>
        <v>128.37</v>
      </c>
      <c r="G68" s="71">
        <f>E68*F68</f>
        <v>10.2696</v>
      </c>
      <c r="H68" s="356"/>
    </row>
    <row r="69" spans="1:7" s="20" customFormat="1" ht="15.75">
      <c r="A69" s="184" t="s">
        <v>803</v>
      </c>
      <c r="B69" s="185" t="s">
        <v>804</v>
      </c>
      <c r="C69" s="186" t="s">
        <v>805</v>
      </c>
      <c r="D69" s="357" t="s">
        <v>806</v>
      </c>
      <c r="E69" s="186" t="s">
        <v>807</v>
      </c>
      <c r="F69" s="232" t="s">
        <v>808</v>
      </c>
      <c r="G69" s="358" t="s">
        <v>809</v>
      </c>
    </row>
    <row r="70" spans="1:7" s="20" customFormat="1" ht="15.75">
      <c r="A70" s="184" t="s">
        <v>810</v>
      </c>
      <c r="B70" s="185"/>
      <c r="C70" s="186" t="s">
        <v>811</v>
      </c>
      <c r="D70" s="357" t="s">
        <v>812</v>
      </c>
      <c r="E70" s="359">
        <v>0.4</v>
      </c>
      <c r="F70" s="360">
        <v>13.9</v>
      </c>
      <c r="G70" s="361">
        <v>5.56</v>
      </c>
    </row>
    <row r="71" spans="1:7" s="20" customFormat="1" ht="15.75">
      <c r="A71" s="184" t="s">
        <v>813</v>
      </c>
      <c r="B71" s="185"/>
      <c r="C71" s="186" t="s">
        <v>814</v>
      </c>
      <c r="D71" s="357" t="s">
        <v>815</v>
      </c>
      <c r="E71" s="359">
        <v>1</v>
      </c>
      <c r="F71" s="360">
        <v>5.56</v>
      </c>
      <c r="G71" s="361">
        <v>0.17</v>
      </c>
    </row>
    <row r="72" spans="1:7" s="20" customFormat="1" ht="15.75">
      <c r="A72" s="184" t="s">
        <v>816</v>
      </c>
      <c r="B72" s="185" t="s">
        <v>817</v>
      </c>
      <c r="C72" s="186" t="s">
        <v>818</v>
      </c>
      <c r="D72" s="357" t="s">
        <v>812</v>
      </c>
      <c r="E72" s="359">
        <v>0.18</v>
      </c>
      <c r="F72" s="360">
        <v>116.88</v>
      </c>
      <c r="G72" s="361">
        <v>21.04</v>
      </c>
    </row>
    <row r="73" spans="1:7" s="20" customFormat="1" ht="15.75">
      <c r="A73" s="184" t="s">
        <v>819</v>
      </c>
      <c r="B73" s="185" t="s">
        <v>820</v>
      </c>
      <c r="C73" s="186" t="s">
        <v>821</v>
      </c>
      <c r="D73" s="357" t="s">
        <v>812</v>
      </c>
      <c r="E73" s="359">
        <v>0.02</v>
      </c>
      <c r="F73" s="360">
        <v>28.69</v>
      </c>
      <c r="G73" s="361">
        <v>0.57</v>
      </c>
    </row>
    <row r="74" spans="1:7" s="20" customFormat="1" ht="15.75">
      <c r="A74" s="184" t="s">
        <v>822</v>
      </c>
      <c r="B74" s="185" t="s">
        <v>823</v>
      </c>
      <c r="C74" s="186" t="s">
        <v>824</v>
      </c>
      <c r="D74" s="357" t="s">
        <v>812</v>
      </c>
      <c r="E74" s="359">
        <v>0.00167</v>
      </c>
      <c r="F74" s="360">
        <v>111.57</v>
      </c>
      <c r="G74" s="361">
        <v>0.19</v>
      </c>
    </row>
    <row r="75" spans="1:7" s="20" customFormat="1" ht="15.75">
      <c r="A75" s="184" t="s">
        <v>825</v>
      </c>
      <c r="B75" s="185" t="s">
        <v>826</v>
      </c>
      <c r="C75" s="186" t="s">
        <v>827</v>
      </c>
      <c r="D75" s="357" t="s">
        <v>812</v>
      </c>
      <c r="E75" s="359">
        <v>0.015</v>
      </c>
      <c r="F75" s="360">
        <v>20.93</v>
      </c>
      <c r="G75" s="361">
        <v>0.31</v>
      </c>
    </row>
    <row r="76" spans="1:7" s="20" customFormat="1" ht="15.75">
      <c r="A76" s="184" t="s">
        <v>828</v>
      </c>
      <c r="B76" s="185" t="s">
        <v>829</v>
      </c>
      <c r="C76" s="186" t="s">
        <v>830</v>
      </c>
      <c r="D76" s="357" t="s">
        <v>812</v>
      </c>
      <c r="E76" s="359">
        <v>0.18</v>
      </c>
      <c r="F76" s="360">
        <v>545.83</v>
      </c>
      <c r="G76" s="361">
        <v>98.25</v>
      </c>
    </row>
    <row r="77" spans="1:7" s="20" customFormat="1" ht="15.75">
      <c r="A77" s="184" t="s">
        <v>831</v>
      </c>
      <c r="B77" s="185" t="s">
        <v>832</v>
      </c>
      <c r="C77" s="186" t="s">
        <v>833</v>
      </c>
      <c r="D77" s="357" t="s">
        <v>812</v>
      </c>
      <c r="E77" s="359">
        <v>0.02</v>
      </c>
      <c r="F77" s="360">
        <v>113.89</v>
      </c>
      <c r="G77" s="361">
        <v>2.28</v>
      </c>
    </row>
    <row r="78" spans="1:8" s="20" customFormat="1" ht="15.75">
      <c r="A78" s="362"/>
      <c r="B78" s="363"/>
      <c r="C78" s="364"/>
      <c r="D78" s="363"/>
      <c r="E78" s="365"/>
      <c r="F78" s="366" t="s">
        <v>834</v>
      </c>
      <c r="G78" s="367">
        <f>SUM(G70:G77)</f>
        <v>128.37</v>
      </c>
      <c r="H78" s="356"/>
    </row>
    <row r="79" spans="1:8" s="20" customFormat="1" ht="30">
      <c r="A79" s="31" t="s">
        <v>443</v>
      </c>
      <c r="B79" s="86" t="s">
        <v>837</v>
      </c>
      <c r="C79" s="87" t="s">
        <v>838</v>
      </c>
      <c r="D79" s="86" t="s">
        <v>0</v>
      </c>
      <c r="E79" s="88"/>
      <c r="F79" s="86">
        <v>4.2</v>
      </c>
      <c r="G79" s="73">
        <f>TRUNC((E79*F79),2)</f>
        <v>0</v>
      </c>
      <c r="H79" s="34" t="s">
        <v>864</v>
      </c>
    </row>
    <row r="80" spans="1:8" s="20" customFormat="1" ht="30">
      <c r="A80" s="82"/>
      <c r="B80" s="83" t="s">
        <v>837</v>
      </c>
      <c r="C80" s="84" t="s">
        <v>838</v>
      </c>
      <c r="D80" s="83" t="s">
        <v>0</v>
      </c>
      <c r="E80" s="83">
        <v>1</v>
      </c>
      <c r="F80" s="85">
        <f>G94</f>
        <v>5.78</v>
      </c>
      <c r="G80" s="71">
        <f aca="true" t="shared" si="3" ref="G80:G93">TRUNC(E80*F80,2)</f>
        <v>5.78</v>
      </c>
      <c r="H80" s="368">
        <v>5.78</v>
      </c>
    </row>
    <row r="81" spans="1:7" s="20" customFormat="1" ht="15.75">
      <c r="A81" s="82"/>
      <c r="B81" s="83" t="s">
        <v>839</v>
      </c>
      <c r="C81" s="84" t="s">
        <v>840</v>
      </c>
      <c r="D81" s="83" t="s">
        <v>1</v>
      </c>
      <c r="E81" s="83">
        <v>0.0028</v>
      </c>
      <c r="F81" s="83">
        <f>TRUNC(9.83,2)</f>
        <v>9.83</v>
      </c>
      <c r="G81" s="71">
        <f t="shared" si="3"/>
        <v>0.02</v>
      </c>
    </row>
    <row r="82" spans="1:7" s="20" customFormat="1" ht="15.75">
      <c r="A82" s="82"/>
      <c r="B82" s="83" t="s">
        <v>243</v>
      </c>
      <c r="C82" s="84" t="s">
        <v>178</v>
      </c>
      <c r="D82" s="83" t="s">
        <v>128</v>
      </c>
      <c r="E82" s="83">
        <v>0.0278</v>
      </c>
      <c r="F82" s="83">
        <f>TRUNC(20.74,2)</f>
        <v>20.74</v>
      </c>
      <c r="G82" s="71">
        <f t="shared" si="3"/>
        <v>0.57</v>
      </c>
    </row>
    <row r="83" spans="1:7" s="20" customFormat="1" ht="15.75">
      <c r="A83" s="82"/>
      <c r="B83" s="83" t="s">
        <v>841</v>
      </c>
      <c r="C83" s="84" t="s">
        <v>842</v>
      </c>
      <c r="D83" s="83" t="s">
        <v>9</v>
      </c>
      <c r="E83" s="83">
        <v>0.0011</v>
      </c>
      <c r="F83" s="83">
        <f>TRUNC(291.24,2)</f>
        <v>291.24</v>
      </c>
      <c r="G83" s="71">
        <f t="shared" si="3"/>
        <v>0.32</v>
      </c>
    </row>
    <row r="84" spans="1:7" s="20" customFormat="1" ht="15.75">
      <c r="A84" s="82"/>
      <c r="B84" s="83" t="s">
        <v>843</v>
      </c>
      <c r="C84" s="84" t="s">
        <v>844</v>
      </c>
      <c r="D84" s="83" t="s">
        <v>9</v>
      </c>
      <c r="E84" s="83">
        <v>0.0195</v>
      </c>
      <c r="F84" s="83">
        <f>TRUNC(30.93,2)</f>
        <v>30.93</v>
      </c>
      <c r="G84" s="71">
        <f t="shared" si="3"/>
        <v>0.6</v>
      </c>
    </row>
    <row r="85" spans="1:7" s="20" customFormat="1" ht="15.75">
      <c r="A85" s="82"/>
      <c r="B85" s="83" t="s">
        <v>845</v>
      </c>
      <c r="C85" s="84" t="s">
        <v>846</v>
      </c>
      <c r="D85" s="83" t="s">
        <v>9</v>
      </c>
      <c r="E85" s="83">
        <v>0.0002</v>
      </c>
      <c r="F85" s="83">
        <f>TRUNC(1368.14,2)</f>
        <v>1368.14</v>
      </c>
      <c r="G85" s="71">
        <f t="shared" si="3"/>
        <v>0.27</v>
      </c>
    </row>
    <row r="86" spans="1:7" s="20" customFormat="1" ht="30">
      <c r="A86" s="82"/>
      <c r="B86" s="83" t="s">
        <v>847</v>
      </c>
      <c r="C86" s="84" t="s">
        <v>848</v>
      </c>
      <c r="D86" s="83" t="s">
        <v>133</v>
      </c>
      <c r="E86" s="83">
        <v>0.0015</v>
      </c>
      <c r="F86" s="83">
        <f>TRUNC(77.74,2)</f>
        <v>77.74</v>
      </c>
      <c r="G86" s="71">
        <f t="shared" si="3"/>
        <v>0.11</v>
      </c>
    </row>
    <row r="87" spans="1:7" s="20" customFormat="1" ht="30">
      <c r="A87" s="82"/>
      <c r="B87" s="83" t="s">
        <v>849</v>
      </c>
      <c r="C87" s="84" t="s">
        <v>850</v>
      </c>
      <c r="D87" s="83" t="s">
        <v>132</v>
      </c>
      <c r="E87" s="83">
        <v>0.0124</v>
      </c>
      <c r="F87" s="83">
        <f>TRUNC(41.03,2)</f>
        <v>41.03</v>
      </c>
      <c r="G87" s="71">
        <f t="shared" si="3"/>
        <v>0.5</v>
      </c>
    </row>
    <row r="88" spans="1:7" s="20" customFormat="1" ht="30">
      <c r="A88" s="82"/>
      <c r="B88" s="83" t="s">
        <v>851</v>
      </c>
      <c r="C88" s="84" t="s">
        <v>852</v>
      </c>
      <c r="D88" s="83" t="s">
        <v>132</v>
      </c>
      <c r="E88" s="83">
        <v>0.0105</v>
      </c>
      <c r="F88" s="83">
        <f>TRUNC(115.19,2)</f>
        <v>115.19</v>
      </c>
      <c r="G88" s="71">
        <f t="shared" si="3"/>
        <v>1.2</v>
      </c>
    </row>
    <row r="89" spans="1:7" s="20" customFormat="1" ht="30">
      <c r="A89" s="82"/>
      <c r="B89" s="83" t="s">
        <v>853</v>
      </c>
      <c r="C89" s="84" t="s">
        <v>854</v>
      </c>
      <c r="D89" s="83" t="s">
        <v>133</v>
      </c>
      <c r="E89" s="83">
        <v>0.0034</v>
      </c>
      <c r="F89" s="83">
        <f>TRUNC(334.5,2)</f>
        <v>334.5</v>
      </c>
      <c r="G89" s="71">
        <f t="shared" si="3"/>
        <v>1.13</v>
      </c>
    </row>
    <row r="90" spans="1:7" s="20" customFormat="1" ht="45">
      <c r="A90" s="82"/>
      <c r="B90" s="83" t="s">
        <v>855</v>
      </c>
      <c r="C90" s="84" t="s">
        <v>856</v>
      </c>
      <c r="D90" s="83" t="s">
        <v>132</v>
      </c>
      <c r="E90" s="83">
        <v>0.0019</v>
      </c>
      <c r="F90" s="83">
        <f>TRUNC(34.11,2)</f>
        <v>34.11</v>
      </c>
      <c r="G90" s="71">
        <f t="shared" si="3"/>
        <v>0.06</v>
      </c>
    </row>
    <row r="91" spans="1:7" s="20" customFormat="1" ht="45">
      <c r="A91" s="82"/>
      <c r="B91" s="83" t="s">
        <v>857</v>
      </c>
      <c r="C91" s="84" t="s">
        <v>858</v>
      </c>
      <c r="D91" s="83" t="s">
        <v>133</v>
      </c>
      <c r="E91" s="83">
        <v>0.0006</v>
      </c>
      <c r="F91" s="83">
        <f>TRUNC(136.3,2)</f>
        <v>136.3</v>
      </c>
      <c r="G91" s="71">
        <f t="shared" si="3"/>
        <v>0.08</v>
      </c>
    </row>
    <row r="92" spans="1:7" s="20" customFormat="1" ht="45">
      <c r="A92" s="82"/>
      <c r="B92" s="83" t="s">
        <v>859</v>
      </c>
      <c r="C92" s="84" t="s">
        <v>860</v>
      </c>
      <c r="D92" s="83" t="s">
        <v>132</v>
      </c>
      <c r="E92" s="83">
        <v>0.0105</v>
      </c>
      <c r="F92" s="83">
        <f>TRUNC(36.09,2)</f>
        <v>36.09</v>
      </c>
      <c r="G92" s="71">
        <f t="shared" si="3"/>
        <v>0.37</v>
      </c>
    </row>
    <row r="93" spans="1:7" s="20" customFormat="1" ht="45">
      <c r="A93" s="82"/>
      <c r="B93" s="83" t="s">
        <v>861</v>
      </c>
      <c r="C93" s="84" t="s">
        <v>862</v>
      </c>
      <c r="D93" s="83" t="s">
        <v>133</v>
      </c>
      <c r="E93" s="83">
        <v>0.0034</v>
      </c>
      <c r="F93" s="83">
        <f>TRUNC(161.99,2)</f>
        <v>161.99</v>
      </c>
      <c r="G93" s="71">
        <f t="shared" si="3"/>
        <v>0.55</v>
      </c>
    </row>
    <row r="94" spans="1:8" s="20" customFormat="1" ht="23.25">
      <c r="A94" s="82"/>
      <c r="B94" s="83"/>
      <c r="C94" s="84"/>
      <c r="D94" s="83"/>
      <c r="E94" s="83" t="s">
        <v>3</v>
      </c>
      <c r="F94" s="83"/>
      <c r="G94" s="71">
        <f>TRUNC(SUM(G81:G93),2)</f>
        <v>5.78</v>
      </c>
      <c r="H94" s="36" t="s">
        <v>863</v>
      </c>
    </row>
    <row r="95" spans="1:7" s="20" customFormat="1" ht="45">
      <c r="A95" s="75" t="s">
        <v>512</v>
      </c>
      <c r="B95" s="76" t="s">
        <v>518</v>
      </c>
      <c r="C95" s="77" t="s">
        <v>513</v>
      </c>
      <c r="D95" s="76" t="s">
        <v>9</v>
      </c>
      <c r="E95" s="89"/>
      <c r="F95" s="76">
        <f>TRUNC(F96,2)</f>
        <v>66.18</v>
      </c>
      <c r="G95" s="63">
        <f>TRUNC((E95*F95),2)</f>
        <v>0</v>
      </c>
    </row>
    <row r="96" spans="1:7" s="20" customFormat="1" ht="60">
      <c r="A96" s="78"/>
      <c r="B96" s="79" t="s">
        <v>518</v>
      </c>
      <c r="C96" s="80" t="s">
        <v>519</v>
      </c>
      <c r="D96" s="79" t="s">
        <v>9</v>
      </c>
      <c r="E96" s="79">
        <v>1</v>
      </c>
      <c r="F96" s="81">
        <f>G106</f>
        <v>66.18</v>
      </c>
      <c r="G96" s="66">
        <f aca="true" t="shared" si="4" ref="G96:G105">TRUNC(E96*F96,2)</f>
        <v>66.18</v>
      </c>
    </row>
    <row r="97" spans="1:7" s="20" customFormat="1" ht="30">
      <c r="A97" s="82"/>
      <c r="B97" s="83" t="s">
        <v>124</v>
      </c>
      <c r="C97" s="84" t="s">
        <v>207</v>
      </c>
      <c r="D97" s="83" t="s">
        <v>125</v>
      </c>
      <c r="E97" s="83">
        <v>0.012</v>
      </c>
      <c r="F97" s="85">
        <f>TRUNC(8.39,2)</f>
        <v>8.39</v>
      </c>
      <c r="G97" s="71">
        <f t="shared" si="4"/>
        <v>0.1</v>
      </c>
    </row>
    <row r="98" spans="1:7" s="20" customFormat="1" ht="15.75">
      <c r="A98" s="82"/>
      <c r="B98" s="83" t="s">
        <v>126</v>
      </c>
      <c r="C98" s="84" t="s">
        <v>208</v>
      </c>
      <c r="D98" s="83" t="s">
        <v>2</v>
      </c>
      <c r="E98" s="83">
        <v>3</v>
      </c>
      <c r="F98" s="85">
        <f>TRUNC(2.46,2)</f>
        <v>2.46</v>
      </c>
      <c r="G98" s="71">
        <f t="shared" si="4"/>
        <v>7.38</v>
      </c>
    </row>
    <row r="99" spans="1:7" s="20" customFormat="1" ht="15.75">
      <c r="A99" s="82"/>
      <c r="B99" s="83" t="s">
        <v>514</v>
      </c>
      <c r="C99" s="84" t="s">
        <v>515</v>
      </c>
      <c r="D99" s="83" t="s">
        <v>0</v>
      </c>
      <c r="E99" s="83">
        <v>0.48</v>
      </c>
      <c r="F99" s="85">
        <f>TRUNC(6.57,2)</f>
        <v>6.57</v>
      </c>
      <c r="G99" s="71">
        <f t="shared" si="4"/>
        <v>3.15</v>
      </c>
    </row>
    <row r="100" spans="1:7" s="20" customFormat="1" ht="15.75">
      <c r="A100" s="82"/>
      <c r="B100" s="83" t="s">
        <v>516</v>
      </c>
      <c r="C100" s="84" t="s">
        <v>517</v>
      </c>
      <c r="D100" s="83" t="s">
        <v>127</v>
      </c>
      <c r="E100" s="83">
        <v>0.004</v>
      </c>
      <c r="F100" s="85">
        <f>TRUNC(44.92,2)</f>
        <v>44.92</v>
      </c>
      <c r="G100" s="71">
        <f t="shared" si="4"/>
        <v>0.17</v>
      </c>
    </row>
    <row r="101" spans="1:7" s="20" customFormat="1" ht="15.75">
      <c r="A101" s="82"/>
      <c r="B101" s="83" t="s">
        <v>209</v>
      </c>
      <c r="C101" s="84" t="s">
        <v>210</v>
      </c>
      <c r="D101" s="83" t="s">
        <v>128</v>
      </c>
      <c r="E101" s="83">
        <v>0.20600000000000002</v>
      </c>
      <c r="F101" s="85">
        <f>TRUNC(14.47,2)</f>
        <v>14.47</v>
      </c>
      <c r="G101" s="71">
        <f t="shared" si="4"/>
        <v>2.98</v>
      </c>
    </row>
    <row r="102" spans="1:7" s="20" customFormat="1" ht="30">
      <c r="A102" s="82"/>
      <c r="B102" s="83" t="s">
        <v>211</v>
      </c>
      <c r="C102" s="84" t="s">
        <v>212</v>
      </c>
      <c r="D102" s="83" t="s">
        <v>128</v>
      </c>
      <c r="E102" s="83">
        <v>0.20600000000000002</v>
      </c>
      <c r="F102" s="85">
        <f>TRUNC(21.49,2)</f>
        <v>21.49</v>
      </c>
      <c r="G102" s="71">
        <f t="shared" si="4"/>
        <v>4.42</v>
      </c>
    </row>
    <row r="103" spans="1:7" s="20" customFormat="1" ht="15.75">
      <c r="A103" s="82"/>
      <c r="B103" s="83" t="s">
        <v>213</v>
      </c>
      <c r="C103" s="84" t="s">
        <v>214</v>
      </c>
      <c r="D103" s="83" t="s">
        <v>128</v>
      </c>
      <c r="E103" s="83">
        <v>2.06</v>
      </c>
      <c r="F103" s="85">
        <f>TRUNC(19.97,2)</f>
        <v>19.97</v>
      </c>
      <c r="G103" s="71">
        <f t="shared" si="4"/>
        <v>41.13</v>
      </c>
    </row>
    <row r="104" spans="1:7" s="20" customFormat="1" ht="15.75">
      <c r="A104" s="82"/>
      <c r="B104" s="83" t="s">
        <v>484</v>
      </c>
      <c r="C104" s="84" t="s">
        <v>485</v>
      </c>
      <c r="D104" s="83" t="s">
        <v>128</v>
      </c>
      <c r="E104" s="83">
        <v>0.018</v>
      </c>
      <c r="F104" s="85">
        <f>TRUNC(39.4257,2)</f>
        <v>39.42</v>
      </c>
      <c r="G104" s="71">
        <f t="shared" si="4"/>
        <v>0.7</v>
      </c>
    </row>
    <row r="105" spans="1:7" s="20" customFormat="1" ht="15.75">
      <c r="A105" s="82"/>
      <c r="B105" s="83" t="s">
        <v>486</v>
      </c>
      <c r="C105" s="84" t="s">
        <v>487</v>
      </c>
      <c r="D105" s="83" t="s">
        <v>128</v>
      </c>
      <c r="E105" s="83">
        <v>0.053</v>
      </c>
      <c r="F105" s="85">
        <f>TRUNC(116.0481,2)</f>
        <v>116.04</v>
      </c>
      <c r="G105" s="71">
        <f t="shared" si="4"/>
        <v>6.15</v>
      </c>
    </row>
    <row r="106" spans="1:7" s="20" customFormat="1" ht="15.75">
      <c r="A106" s="82"/>
      <c r="B106" s="83"/>
      <c r="C106" s="84"/>
      <c r="D106" s="83"/>
      <c r="E106" s="83" t="s">
        <v>3</v>
      </c>
      <c r="F106" s="85"/>
      <c r="G106" s="71">
        <f>TRUNC(SUM(G97:G105),2)</f>
        <v>66.18</v>
      </c>
    </row>
    <row r="107" spans="1:7" s="20" customFormat="1" ht="15.75">
      <c r="A107" s="31" t="s">
        <v>649</v>
      </c>
      <c r="B107" s="86" t="s">
        <v>650</v>
      </c>
      <c r="C107" s="87" t="s">
        <v>651</v>
      </c>
      <c r="D107" s="86" t="str">
        <f>D108</f>
        <v>M</v>
      </c>
      <c r="E107" s="88"/>
      <c r="F107" s="99">
        <f>TRUNC(F108,2)</f>
        <v>3.01</v>
      </c>
      <c r="G107" s="73">
        <f>TRUNC((E107*F107),2)</f>
        <v>0</v>
      </c>
    </row>
    <row r="108" spans="1:7" s="20" customFormat="1" ht="15.75">
      <c r="A108" s="82"/>
      <c r="B108" s="83" t="s">
        <v>650</v>
      </c>
      <c r="C108" s="84" t="s">
        <v>651</v>
      </c>
      <c r="D108" s="83" t="s">
        <v>2</v>
      </c>
      <c r="E108" s="83">
        <v>1</v>
      </c>
      <c r="F108" s="85">
        <v>3.01</v>
      </c>
      <c r="G108" s="71">
        <f aca="true" t="shared" si="5" ref="G108:G115">TRUNC(E108*F108,2)</f>
        <v>3.01</v>
      </c>
    </row>
    <row r="109" spans="1:7" s="20" customFormat="1" ht="15.75">
      <c r="A109" s="82"/>
      <c r="B109" s="83" t="s">
        <v>652</v>
      </c>
      <c r="C109" s="84" t="s">
        <v>653</v>
      </c>
      <c r="D109" s="83" t="s">
        <v>9</v>
      </c>
      <c r="E109" s="83">
        <v>0.009</v>
      </c>
      <c r="F109" s="85">
        <f>TRUNC(6.92,2)</f>
        <v>6.92</v>
      </c>
      <c r="G109" s="71">
        <f t="shared" si="5"/>
        <v>0.06</v>
      </c>
    </row>
    <row r="110" spans="1:7" s="20" customFormat="1" ht="15.75">
      <c r="A110" s="82"/>
      <c r="B110" s="83" t="s">
        <v>654</v>
      </c>
      <c r="C110" s="84" t="s">
        <v>655</v>
      </c>
      <c r="D110" s="83" t="s">
        <v>9</v>
      </c>
      <c r="E110" s="83">
        <v>0.009</v>
      </c>
      <c r="F110" s="85">
        <f>TRUNC(4.45,2)</f>
        <v>4.45</v>
      </c>
      <c r="G110" s="71">
        <f t="shared" si="5"/>
        <v>0.04</v>
      </c>
    </row>
    <row r="111" spans="1:7" s="20" customFormat="1" ht="15.75">
      <c r="A111" s="82"/>
      <c r="B111" s="83" t="s">
        <v>656</v>
      </c>
      <c r="C111" s="84" t="s">
        <v>657</v>
      </c>
      <c r="D111" s="83" t="s">
        <v>9</v>
      </c>
      <c r="E111" s="83">
        <v>0.009</v>
      </c>
      <c r="F111" s="85">
        <f>TRUNC(9.54,2)</f>
        <v>9.54</v>
      </c>
      <c r="G111" s="71">
        <f t="shared" si="5"/>
        <v>0.08</v>
      </c>
    </row>
    <row r="112" spans="1:7" s="20" customFormat="1" ht="30">
      <c r="A112" s="82"/>
      <c r="B112" s="83" t="s">
        <v>658</v>
      </c>
      <c r="C112" s="84" t="s">
        <v>659</v>
      </c>
      <c r="D112" s="83" t="s">
        <v>2</v>
      </c>
      <c r="E112" s="83">
        <v>0.3</v>
      </c>
      <c r="F112" s="85">
        <f>TRUNC(1.33,2)</f>
        <v>1.33</v>
      </c>
      <c r="G112" s="71">
        <f t="shared" si="5"/>
        <v>0.39</v>
      </c>
    </row>
    <row r="113" spans="1:7" s="20" customFormat="1" ht="15.75">
      <c r="A113" s="82"/>
      <c r="B113" s="83" t="s">
        <v>243</v>
      </c>
      <c r="C113" s="84" t="s">
        <v>178</v>
      </c>
      <c r="D113" s="83" t="s">
        <v>128</v>
      </c>
      <c r="E113" s="83">
        <v>0.05</v>
      </c>
      <c r="F113" s="85">
        <f>TRUNC(20.71,2)</f>
        <v>20.71</v>
      </c>
      <c r="G113" s="71">
        <f t="shared" si="5"/>
        <v>1.03</v>
      </c>
    </row>
    <row r="114" spans="1:7" s="20" customFormat="1" ht="15.75">
      <c r="A114" s="82"/>
      <c r="B114" s="83" t="s">
        <v>660</v>
      </c>
      <c r="C114" s="84" t="s">
        <v>661</v>
      </c>
      <c r="D114" s="83" t="s">
        <v>128</v>
      </c>
      <c r="E114" s="83">
        <v>0.05</v>
      </c>
      <c r="F114" s="85">
        <f>TRUNC(26.55,2)</f>
        <v>26.55</v>
      </c>
      <c r="G114" s="71">
        <f t="shared" si="5"/>
        <v>1.32</v>
      </c>
    </row>
    <row r="115" spans="1:7" s="20" customFormat="1" ht="15.75">
      <c r="A115" s="82"/>
      <c r="B115" s="83" t="s">
        <v>662</v>
      </c>
      <c r="C115" s="84" t="s">
        <v>663</v>
      </c>
      <c r="D115" s="83" t="s">
        <v>664</v>
      </c>
      <c r="E115" s="83">
        <v>0.24</v>
      </c>
      <c r="F115" s="85">
        <f>TRUNC(0.51,2)</f>
        <v>0.51</v>
      </c>
      <c r="G115" s="71">
        <f t="shared" si="5"/>
        <v>0.12</v>
      </c>
    </row>
    <row r="116" spans="1:7" s="20" customFormat="1" ht="15.75">
      <c r="A116" s="82"/>
      <c r="B116" s="83"/>
      <c r="C116" s="84"/>
      <c r="D116" s="83"/>
      <c r="E116" s="83" t="s">
        <v>3</v>
      </c>
      <c r="F116" s="85"/>
      <c r="G116" s="71">
        <f>TRUNC(SUM(G109:G115),2)</f>
        <v>3.04</v>
      </c>
    </row>
    <row r="117" spans="1:7" s="20" customFormat="1" ht="30">
      <c r="A117" s="31" t="s">
        <v>666</v>
      </c>
      <c r="B117" s="86" t="s">
        <v>669</v>
      </c>
      <c r="C117" s="87" t="s">
        <v>670</v>
      </c>
      <c r="D117" s="86" t="s">
        <v>677</v>
      </c>
      <c r="E117" s="88"/>
      <c r="F117" s="99">
        <f>TRUNC(F118,2)</f>
        <v>1.66</v>
      </c>
      <c r="G117" s="73">
        <f>TRUNC((E117*F117),2)</f>
        <v>0</v>
      </c>
    </row>
    <row r="118" spans="1:7" s="20" customFormat="1" ht="30">
      <c r="A118" s="82"/>
      <c r="B118" s="83" t="s">
        <v>669</v>
      </c>
      <c r="C118" s="84" t="s">
        <v>670</v>
      </c>
      <c r="D118" s="83" t="s">
        <v>2</v>
      </c>
      <c r="E118" s="83">
        <v>1</v>
      </c>
      <c r="F118" s="85">
        <v>1.66</v>
      </c>
      <c r="G118" s="71">
        <f>TRUNC(E118*F118,2)</f>
        <v>1.66</v>
      </c>
    </row>
    <row r="119" spans="1:7" s="20" customFormat="1" ht="15.75">
      <c r="A119" s="82"/>
      <c r="B119" s="83" t="s">
        <v>671</v>
      </c>
      <c r="C119" s="84" t="s">
        <v>672</v>
      </c>
      <c r="D119" s="83" t="s">
        <v>128</v>
      </c>
      <c r="E119" s="83">
        <v>0.03</v>
      </c>
      <c r="F119" s="85">
        <f>TRUNC(24.27,2)</f>
        <v>24.27</v>
      </c>
      <c r="G119" s="71">
        <f>TRUNC(E119*F119,2)</f>
        <v>0.72</v>
      </c>
    </row>
    <row r="120" spans="1:7" s="20" customFormat="1" ht="15.75">
      <c r="A120" s="82"/>
      <c r="B120" s="83" t="s">
        <v>667</v>
      </c>
      <c r="C120" s="84" t="s">
        <v>668</v>
      </c>
      <c r="D120" s="83" t="s">
        <v>128</v>
      </c>
      <c r="E120" s="83">
        <v>0.06</v>
      </c>
      <c r="F120" s="85">
        <f>TRUNC(13.98,2)</f>
        <v>13.98</v>
      </c>
      <c r="G120" s="71">
        <f>TRUNC(E120*F120,2)</f>
        <v>0.83</v>
      </c>
    </row>
    <row r="121" spans="1:7" s="20" customFormat="1" ht="15.75">
      <c r="A121" s="82"/>
      <c r="B121" s="83" t="s">
        <v>673</v>
      </c>
      <c r="C121" s="84" t="s">
        <v>674</v>
      </c>
      <c r="D121" s="83" t="s">
        <v>128</v>
      </c>
      <c r="E121" s="83">
        <v>0.03</v>
      </c>
      <c r="F121" s="85">
        <f>TRUNC(2.27,2)</f>
        <v>2.27</v>
      </c>
      <c r="G121" s="71">
        <f>TRUNC(E121*F121,2)</f>
        <v>0.06</v>
      </c>
    </row>
    <row r="122" spans="1:7" s="20" customFormat="1" ht="30">
      <c r="A122" s="82"/>
      <c r="B122" s="83" t="s">
        <v>675</v>
      </c>
      <c r="C122" s="84" t="s">
        <v>676</v>
      </c>
      <c r="D122" s="83" t="s">
        <v>128</v>
      </c>
      <c r="E122" s="83">
        <v>0.03</v>
      </c>
      <c r="F122" s="85">
        <f>TRUNC(2.27,2)</f>
        <v>2.27</v>
      </c>
      <c r="G122" s="71">
        <f>TRUNC(E122*F122,2)</f>
        <v>0.06</v>
      </c>
    </row>
    <row r="123" spans="1:7" s="20" customFormat="1" ht="15.75">
      <c r="A123" s="82"/>
      <c r="B123" s="83"/>
      <c r="C123" s="84"/>
      <c r="D123" s="83"/>
      <c r="E123" s="83" t="s">
        <v>3</v>
      </c>
      <c r="F123" s="85"/>
      <c r="G123" s="71">
        <f>TRUNC(SUM(G119:G122),2)</f>
        <v>1.67</v>
      </c>
    </row>
    <row r="124" spans="1:8" s="19" customFormat="1" ht="15.75">
      <c r="A124" s="90"/>
      <c r="B124" s="91"/>
      <c r="C124" s="92"/>
      <c r="D124" s="91"/>
      <c r="E124" s="91"/>
      <c r="F124" s="91" t="s">
        <v>116</v>
      </c>
      <c r="G124" s="93"/>
      <c r="H124" s="35"/>
    </row>
    <row r="125" spans="1:7" s="19" customFormat="1" ht="15.75">
      <c r="A125" s="90" t="s">
        <v>20</v>
      </c>
      <c r="B125" s="91"/>
      <c r="C125" s="92" t="s">
        <v>444</v>
      </c>
      <c r="D125" s="91"/>
      <c r="E125" s="91"/>
      <c r="F125" s="91"/>
      <c r="G125" s="91"/>
    </row>
    <row r="126" spans="1:8" ht="60">
      <c r="A126" s="29" t="s">
        <v>33</v>
      </c>
      <c r="B126" s="48" t="s">
        <v>866</v>
      </c>
      <c r="C126" s="14" t="s">
        <v>867</v>
      </c>
      <c r="D126" s="48" t="s">
        <v>1</v>
      </c>
      <c r="E126" s="88"/>
      <c r="F126" s="48">
        <f>TRUNC(F127,2)</f>
        <v>8.5</v>
      </c>
      <c r="G126" s="73">
        <f>TRUNC((E126*F126),2)</f>
        <v>0</v>
      </c>
      <c r="H126" s="28"/>
    </row>
    <row r="127" spans="1:7" ht="60">
      <c r="A127" s="67"/>
      <c r="B127" s="68" t="s">
        <v>866</v>
      </c>
      <c r="C127" s="69" t="s">
        <v>867</v>
      </c>
      <c r="D127" s="68" t="s">
        <v>1</v>
      </c>
      <c r="E127" s="68">
        <v>1</v>
      </c>
      <c r="F127" s="70">
        <f>G131</f>
        <v>8.5</v>
      </c>
      <c r="G127" s="71">
        <f>TRUNC(E127*F127,2)</f>
        <v>8.5</v>
      </c>
    </row>
    <row r="128" spans="1:7" ht="15.75">
      <c r="A128" s="67"/>
      <c r="B128" s="68" t="s">
        <v>243</v>
      </c>
      <c r="C128" s="69" t="s">
        <v>178</v>
      </c>
      <c r="D128" s="68" t="s">
        <v>128</v>
      </c>
      <c r="E128" s="68">
        <v>0.0742</v>
      </c>
      <c r="F128" s="70">
        <f>TRUNC(20.74,2)</f>
        <v>20.74</v>
      </c>
      <c r="G128" s="71">
        <f>TRUNC(E128*F128,2)</f>
        <v>1.53</v>
      </c>
    </row>
    <row r="129" spans="1:7" ht="30">
      <c r="A129" s="67"/>
      <c r="B129" s="68" t="s">
        <v>868</v>
      </c>
      <c r="C129" s="69" t="s">
        <v>869</v>
      </c>
      <c r="D129" s="68" t="s">
        <v>132</v>
      </c>
      <c r="E129" s="68">
        <v>0.0387</v>
      </c>
      <c r="F129" s="70">
        <f>TRUNC(55.69,2)</f>
        <v>55.69</v>
      </c>
      <c r="G129" s="71">
        <f>TRUNC(E129*F129,2)</f>
        <v>2.15</v>
      </c>
    </row>
    <row r="130" spans="1:7" ht="30">
      <c r="A130" s="67"/>
      <c r="B130" s="68" t="s">
        <v>870</v>
      </c>
      <c r="C130" s="69" t="s">
        <v>871</v>
      </c>
      <c r="D130" s="68" t="s">
        <v>133</v>
      </c>
      <c r="E130" s="68">
        <v>0.0356</v>
      </c>
      <c r="F130" s="70">
        <f>TRUNC(135.62,2)</f>
        <v>135.62</v>
      </c>
      <c r="G130" s="71">
        <f>TRUNC(E130*F130,2)</f>
        <v>4.82</v>
      </c>
    </row>
    <row r="131" spans="1:7" ht="15.75">
      <c r="A131" s="67"/>
      <c r="B131" s="68"/>
      <c r="C131" s="69"/>
      <c r="D131" s="68"/>
      <c r="E131" s="68" t="s">
        <v>3</v>
      </c>
      <c r="F131" s="70"/>
      <c r="G131" s="71">
        <f>TRUNC(SUM(G128:G130),2)</f>
        <v>8.5</v>
      </c>
    </row>
    <row r="132" spans="1:8" ht="45">
      <c r="A132" s="75" t="s">
        <v>34</v>
      </c>
      <c r="B132" s="76" t="s">
        <v>432</v>
      </c>
      <c r="C132" s="77" t="s">
        <v>420</v>
      </c>
      <c r="D132" s="76" t="s">
        <v>1</v>
      </c>
      <c r="E132" s="74"/>
      <c r="F132" s="119">
        <f>TRUNC(F133,2)</f>
        <v>32.1</v>
      </c>
      <c r="G132" s="63">
        <f>TRUNC((E132*F132),2)</f>
        <v>0</v>
      </c>
      <c r="H132" s="32"/>
    </row>
    <row r="133" spans="1:7" ht="45">
      <c r="A133" s="78"/>
      <c r="B133" s="79" t="s">
        <v>432</v>
      </c>
      <c r="C133" s="80" t="s">
        <v>433</v>
      </c>
      <c r="D133" s="79" t="s">
        <v>1</v>
      </c>
      <c r="E133" s="79">
        <v>1</v>
      </c>
      <c r="F133" s="81">
        <f>G139</f>
        <v>32.1</v>
      </c>
      <c r="G133" s="66">
        <f aca="true" t="shared" si="6" ref="G133:G138">TRUNC(E133*F133,2)</f>
        <v>32.1</v>
      </c>
    </row>
    <row r="134" spans="1:7" ht="30">
      <c r="A134" s="82"/>
      <c r="B134" s="83" t="s">
        <v>434</v>
      </c>
      <c r="C134" s="84" t="s">
        <v>435</v>
      </c>
      <c r="D134" s="83" t="s">
        <v>128</v>
      </c>
      <c r="E134" s="83">
        <v>0.6695000000000001</v>
      </c>
      <c r="F134" s="85">
        <f>TRUNC(22.44,2)</f>
        <v>22.44</v>
      </c>
      <c r="G134" s="71">
        <f t="shared" si="6"/>
        <v>15.02</v>
      </c>
    </row>
    <row r="135" spans="1:7" ht="15.75">
      <c r="A135" s="82"/>
      <c r="B135" s="83" t="s">
        <v>288</v>
      </c>
      <c r="C135" s="84" t="s">
        <v>289</v>
      </c>
      <c r="D135" s="83" t="s">
        <v>128</v>
      </c>
      <c r="E135" s="83">
        <v>0.25</v>
      </c>
      <c r="F135" s="85">
        <f>TRUNC(3.9264,2)</f>
        <v>3.92</v>
      </c>
      <c r="G135" s="71">
        <f t="shared" si="6"/>
        <v>0.98</v>
      </c>
    </row>
    <row r="136" spans="1:7" ht="15.75">
      <c r="A136" s="82"/>
      <c r="B136" s="83" t="s">
        <v>290</v>
      </c>
      <c r="C136" s="84" t="s">
        <v>291</v>
      </c>
      <c r="D136" s="83" t="s">
        <v>128</v>
      </c>
      <c r="E136" s="83">
        <v>0.4</v>
      </c>
      <c r="F136" s="85">
        <f>TRUNC(5.4974,2)</f>
        <v>5.49</v>
      </c>
      <c r="G136" s="71">
        <f t="shared" si="6"/>
        <v>2.19</v>
      </c>
    </row>
    <row r="137" spans="1:7" ht="15.75">
      <c r="A137" s="82"/>
      <c r="B137" s="83" t="s">
        <v>436</v>
      </c>
      <c r="C137" s="84" t="s">
        <v>437</v>
      </c>
      <c r="D137" s="83" t="s">
        <v>128</v>
      </c>
      <c r="E137" s="83">
        <v>0.12</v>
      </c>
      <c r="F137" s="85">
        <f>TRUNC(12.4693,2)</f>
        <v>12.46</v>
      </c>
      <c r="G137" s="71">
        <f t="shared" si="6"/>
        <v>1.49</v>
      </c>
    </row>
    <row r="138" spans="1:7" ht="15.75">
      <c r="A138" s="82"/>
      <c r="B138" s="83" t="s">
        <v>438</v>
      </c>
      <c r="C138" s="84" t="s">
        <v>439</v>
      </c>
      <c r="D138" s="83" t="s">
        <v>128</v>
      </c>
      <c r="E138" s="83">
        <v>0.2</v>
      </c>
      <c r="F138" s="85">
        <f>TRUNC(62.1374,2)</f>
        <v>62.13</v>
      </c>
      <c r="G138" s="71">
        <f t="shared" si="6"/>
        <v>12.42</v>
      </c>
    </row>
    <row r="139" spans="1:7" ht="15.75">
      <c r="A139" s="82"/>
      <c r="B139" s="83"/>
      <c r="C139" s="84"/>
      <c r="D139" s="83"/>
      <c r="E139" s="83" t="s">
        <v>3</v>
      </c>
      <c r="F139" s="85"/>
      <c r="G139" s="71">
        <f>TRUNC(SUM(G134:G138),2)</f>
        <v>32.1</v>
      </c>
    </row>
    <row r="140" spans="1:7" s="19" customFormat="1" ht="15.75">
      <c r="A140" s="94"/>
      <c r="B140" s="95"/>
      <c r="C140" s="96"/>
      <c r="D140" s="95"/>
      <c r="E140" s="95"/>
      <c r="F140" s="95" t="s">
        <v>117</v>
      </c>
      <c r="G140" s="97">
        <f>G126+G132</f>
        <v>0</v>
      </c>
    </row>
    <row r="141" spans="1:7" ht="15.75">
      <c r="A141" s="90" t="s">
        <v>21</v>
      </c>
      <c r="B141" s="91"/>
      <c r="C141" s="92" t="s">
        <v>87</v>
      </c>
      <c r="D141" s="91"/>
      <c r="E141" s="91"/>
      <c r="F141" s="91"/>
      <c r="G141" s="91"/>
    </row>
    <row r="142" spans="1:8" ht="60">
      <c r="A142" s="29" t="s">
        <v>10</v>
      </c>
      <c r="B142" s="48" t="s">
        <v>866</v>
      </c>
      <c r="C142" s="14" t="s">
        <v>867</v>
      </c>
      <c r="D142" s="48" t="s">
        <v>1</v>
      </c>
      <c r="E142" s="88"/>
      <c r="F142" s="48">
        <f>TRUNC(F143,2)</f>
        <v>8.5</v>
      </c>
      <c r="G142" s="73">
        <f>TRUNC((E142*F142),2)</f>
        <v>0</v>
      </c>
      <c r="H142" s="28"/>
    </row>
    <row r="143" spans="1:7" ht="60">
      <c r="A143" s="67"/>
      <c r="B143" s="68" t="s">
        <v>866</v>
      </c>
      <c r="C143" s="69" t="s">
        <v>867</v>
      </c>
      <c r="D143" s="68" t="s">
        <v>1</v>
      </c>
      <c r="E143" s="68">
        <v>1</v>
      </c>
      <c r="F143" s="70">
        <f>G147</f>
        <v>8.5</v>
      </c>
      <c r="G143" s="71">
        <f>TRUNC(E143*F143,2)</f>
        <v>8.5</v>
      </c>
    </row>
    <row r="144" spans="1:7" ht="15.75">
      <c r="A144" s="67"/>
      <c r="B144" s="68" t="s">
        <v>243</v>
      </c>
      <c r="C144" s="69" t="s">
        <v>178</v>
      </c>
      <c r="D144" s="68" t="s">
        <v>128</v>
      </c>
      <c r="E144" s="68">
        <v>0.0742</v>
      </c>
      <c r="F144" s="70">
        <f>TRUNC(20.74,2)</f>
        <v>20.74</v>
      </c>
      <c r="G144" s="71">
        <f>TRUNC(E144*F144,2)</f>
        <v>1.53</v>
      </c>
    </row>
    <row r="145" spans="1:7" ht="30">
      <c r="A145" s="67"/>
      <c r="B145" s="68" t="s">
        <v>868</v>
      </c>
      <c r="C145" s="69" t="s">
        <v>869</v>
      </c>
      <c r="D145" s="68" t="s">
        <v>132</v>
      </c>
      <c r="E145" s="68">
        <v>0.0387</v>
      </c>
      <c r="F145" s="70">
        <f>TRUNC(55.69,2)</f>
        <v>55.69</v>
      </c>
      <c r="G145" s="71">
        <f>TRUNC(E145*F145,2)</f>
        <v>2.15</v>
      </c>
    </row>
    <row r="146" spans="1:7" ht="30">
      <c r="A146" s="67"/>
      <c r="B146" s="68" t="s">
        <v>870</v>
      </c>
      <c r="C146" s="69" t="s">
        <v>871</v>
      </c>
      <c r="D146" s="68" t="s">
        <v>133</v>
      </c>
      <c r="E146" s="68">
        <v>0.0356</v>
      </c>
      <c r="F146" s="70">
        <f>TRUNC(135.62,2)</f>
        <v>135.62</v>
      </c>
      <c r="G146" s="71">
        <f>TRUNC(E146*F146,2)</f>
        <v>4.82</v>
      </c>
    </row>
    <row r="147" spans="1:7" ht="15.75">
      <c r="A147" s="67"/>
      <c r="B147" s="68"/>
      <c r="C147" s="69"/>
      <c r="D147" s="68"/>
      <c r="E147" s="68" t="s">
        <v>3</v>
      </c>
      <c r="F147" s="70"/>
      <c r="G147" s="71">
        <f>TRUNC(SUM(G144:G146),2)</f>
        <v>8.5</v>
      </c>
    </row>
    <row r="148" spans="1:8" ht="45">
      <c r="A148" s="75" t="s">
        <v>11</v>
      </c>
      <c r="B148" s="76" t="s">
        <v>432</v>
      </c>
      <c r="C148" s="77" t="s">
        <v>420</v>
      </c>
      <c r="D148" s="76" t="s">
        <v>1</v>
      </c>
      <c r="E148" s="74"/>
      <c r="F148" s="119">
        <f>TRUNC(F149,2)</f>
        <v>32.1</v>
      </c>
      <c r="G148" s="63">
        <f>TRUNC((E148*F148),2)</f>
        <v>0</v>
      </c>
      <c r="H148" s="32"/>
    </row>
    <row r="149" spans="1:7" ht="45">
      <c r="A149" s="78"/>
      <c r="B149" s="79" t="s">
        <v>432</v>
      </c>
      <c r="C149" s="80" t="s">
        <v>433</v>
      </c>
      <c r="D149" s="79" t="s">
        <v>1</v>
      </c>
      <c r="E149" s="79">
        <v>1</v>
      </c>
      <c r="F149" s="81">
        <f>G155</f>
        <v>32.1</v>
      </c>
      <c r="G149" s="66">
        <f aca="true" t="shared" si="7" ref="G149:G154">TRUNC(E149*F149,2)</f>
        <v>32.1</v>
      </c>
    </row>
    <row r="150" spans="1:7" ht="30">
      <c r="A150" s="82"/>
      <c r="B150" s="83" t="s">
        <v>434</v>
      </c>
      <c r="C150" s="84" t="s">
        <v>435</v>
      </c>
      <c r="D150" s="83" t="s">
        <v>128</v>
      </c>
      <c r="E150" s="83">
        <v>0.6695000000000001</v>
      </c>
      <c r="F150" s="85">
        <f>TRUNC(22.44,2)</f>
        <v>22.44</v>
      </c>
      <c r="G150" s="71">
        <f t="shared" si="7"/>
        <v>15.02</v>
      </c>
    </row>
    <row r="151" spans="1:7" ht="15.75">
      <c r="A151" s="82"/>
      <c r="B151" s="83" t="s">
        <v>288</v>
      </c>
      <c r="C151" s="84" t="s">
        <v>289</v>
      </c>
      <c r="D151" s="83" t="s">
        <v>128</v>
      </c>
      <c r="E151" s="83">
        <v>0.25</v>
      </c>
      <c r="F151" s="85">
        <f>TRUNC(3.9264,2)</f>
        <v>3.92</v>
      </c>
      <c r="G151" s="71">
        <f t="shared" si="7"/>
        <v>0.98</v>
      </c>
    </row>
    <row r="152" spans="1:7" ht="15.75">
      <c r="A152" s="82"/>
      <c r="B152" s="83" t="s">
        <v>290</v>
      </c>
      <c r="C152" s="84" t="s">
        <v>291</v>
      </c>
      <c r="D152" s="83" t="s">
        <v>128</v>
      </c>
      <c r="E152" s="83">
        <v>0.4</v>
      </c>
      <c r="F152" s="85">
        <f>TRUNC(5.4974,2)</f>
        <v>5.49</v>
      </c>
      <c r="G152" s="71">
        <f t="shared" si="7"/>
        <v>2.19</v>
      </c>
    </row>
    <row r="153" spans="1:7" ht="15.75">
      <c r="A153" s="82"/>
      <c r="B153" s="83" t="s">
        <v>436</v>
      </c>
      <c r="C153" s="84" t="s">
        <v>437</v>
      </c>
      <c r="D153" s="83" t="s">
        <v>128</v>
      </c>
      <c r="E153" s="83">
        <v>0.12</v>
      </c>
      <c r="F153" s="85">
        <f>TRUNC(12.4693,2)</f>
        <v>12.46</v>
      </c>
      <c r="G153" s="71">
        <f t="shared" si="7"/>
        <v>1.49</v>
      </c>
    </row>
    <row r="154" spans="1:7" ht="15.75">
      <c r="A154" s="82"/>
      <c r="B154" s="83" t="s">
        <v>438</v>
      </c>
      <c r="C154" s="84" t="s">
        <v>439</v>
      </c>
      <c r="D154" s="83" t="s">
        <v>128</v>
      </c>
      <c r="E154" s="83">
        <v>0.2</v>
      </c>
      <c r="F154" s="85">
        <f>TRUNC(62.1374,2)</f>
        <v>62.13</v>
      </c>
      <c r="G154" s="71">
        <f t="shared" si="7"/>
        <v>12.42</v>
      </c>
    </row>
    <row r="155" spans="1:7" ht="15.75">
      <c r="A155" s="82"/>
      <c r="B155" s="83"/>
      <c r="C155" s="84"/>
      <c r="D155" s="83"/>
      <c r="E155" s="83" t="s">
        <v>3</v>
      </c>
      <c r="F155" s="85"/>
      <c r="G155" s="71">
        <f>TRUNC(SUM(G150:G154),2)</f>
        <v>32.1</v>
      </c>
    </row>
    <row r="156" spans="1:7" s="20" customFormat="1" ht="45">
      <c r="A156" s="31" t="s">
        <v>12</v>
      </c>
      <c r="B156" s="98" t="s">
        <v>244</v>
      </c>
      <c r="C156" s="87" t="s">
        <v>88</v>
      </c>
      <c r="D156" s="86" t="s">
        <v>2</v>
      </c>
      <c r="E156" s="99"/>
      <c r="F156" s="100">
        <f>TRUNC(F157,2)</f>
        <v>38.74</v>
      </c>
      <c r="G156" s="73">
        <f>TRUNC((E156*F156),2)</f>
        <v>0</v>
      </c>
    </row>
    <row r="157" spans="1:7" ht="45">
      <c r="A157" s="78"/>
      <c r="B157" s="79" t="s">
        <v>244</v>
      </c>
      <c r="C157" s="80" t="s">
        <v>245</v>
      </c>
      <c r="D157" s="79" t="s">
        <v>2</v>
      </c>
      <c r="E157" s="79">
        <v>1</v>
      </c>
      <c r="F157" s="81">
        <f>G163</f>
        <v>38.74</v>
      </c>
      <c r="G157" s="66">
        <f aca="true" t="shared" si="8" ref="G157:G162">TRUNC(E157*F157,2)</f>
        <v>38.74</v>
      </c>
    </row>
    <row r="158" spans="1:7" ht="15.75">
      <c r="A158" s="82"/>
      <c r="B158" s="83" t="s">
        <v>246</v>
      </c>
      <c r="C158" s="84" t="s">
        <v>247</v>
      </c>
      <c r="D158" s="83" t="s">
        <v>2</v>
      </c>
      <c r="E158" s="83">
        <v>1.005</v>
      </c>
      <c r="F158" s="85">
        <f>TRUNC(18.9,2)</f>
        <v>18.9</v>
      </c>
      <c r="G158" s="71">
        <f t="shared" si="8"/>
        <v>18.99</v>
      </c>
    </row>
    <row r="159" spans="1:7" ht="15.75">
      <c r="A159" s="82"/>
      <c r="B159" s="83" t="s">
        <v>248</v>
      </c>
      <c r="C159" s="84" t="s">
        <v>249</v>
      </c>
      <c r="D159" s="83" t="s">
        <v>1</v>
      </c>
      <c r="E159" s="83">
        <v>0.007</v>
      </c>
      <c r="F159" s="85">
        <f>TRUNC(54.29,2)</f>
        <v>54.29</v>
      </c>
      <c r="G159" s="71">
        <f t="shared" si="8"/>
        <v>0.38</v>
      </c>
    </row>
    <row r="160" spans="1:7" ht="15.75">
      <c r="A160" s="82"/>
      <c r="B160" s="83" t="s">
        <v>243</v>
      </c>
      <c r="C160" s="84" t="s">
        <v>178</v>
      </c>
      <c r="D160" s="83" t="s">
        <v>128</v>
      </c>
      <c r="E160" s="83">
        <v>0.394</v>
      </c>
      <c r="F160" s="85">
        <f>TRUNC(20.74,2)</f>
        <v>20.74</v>
      </c>
      <c r="G160" s="71">
        <f t="shared" si="8"/>
        <v>8.17</v>
      </c>
    </row>
    <row r="161" spans="1:7" ht="15.75">
      <c r="A161" s="82"/>
      <c r="B161" s="83" t="s">
        <v>250</v>
      </c>
      <c r="C161" s="84" t="s">
        <v>251</v>
      </c>
      <c r="D161" s="83" t="s">
        <v>128</v>
      </c>
      <c r="E161" s="83">
        <v>0.394</v>
      </c>
      <c r="F161" s="85">
        <f>TRUNC(26.33,2)</f>
        <v>26.33</v>
      </c>
      <c r="G161" s="71">
        <f t="shared" si="8"/>
        <v>10.37</v>
      </c>
    </row>
    <row r="162" spans="1:7" ht="30">
      <c r="A162" s="82"/>
      <c r="B162" s="83" t="s">
        <v>252</v>
      </c>
      <c r="C162" s="84" t="s">
        <v>253</v>
      </c>
      <c r="D162" s="83" t="s">
        <v>1</v>
      </c>
      <c r="E162" s="83">
        <v>0.002</v>
      </c>
      <c r="F162" s="85">
        <f>TRUNC(419.31,2)</f>
        <v>419.31</v>
      </c>
      <c r="G162" s="71">
        <f t="shared" si="8"/>
        <v>0.83</v>
      </c>
    </row>
    <row r="163" spans="1:7" ht="15.75">
      <c r="A163" s="82"/>
      <c r="B163" s="83"/>
      <c r="C163" s="84"/>
      <c r="D163" s="83"/>
      <c r="E163" s="83" t="s">
        <v>3</v>
      </c>
      <c r="F163" s="85"/>
      <c r="G163" s="71">
        <f>TRUNC(SUM(G158:G162),2)</f>
        <v>38.74</v>
      </c>
    </row>
    <row r="164" spans="1:7" s="20" customFormat="1" ht="30">
      <c r="A164" s="75" t="s">
        <v>65</v>
      </c>
      <c r="B164" s="25" t="s">
        <v>593</v>
      </c>
      <c r="C164" s="77" t="s">
        <v>594</v>
      </c>
      <c r="D164" s="76" t="s">
        <v>2</v>
      </c>
      <c r="E164" s="119"/>
      <c r="F164" s="120">
        <f>TRUNC(F165,2)</f>
        <v>31.97</v>
      </c>
      <c r="G164" s="63">
        <f>TRUNC((E164*F164),2)</f>
        <v>0</v>
      </c>
    </row>
    <row r="165" spans="1:7" ht="30">
      <c r="A165" s="78"/>
      <c r="B165" s="79" t="s">
        <v>593</v>
      </c>
      <c r="C165" s="80" t="s">
        <v>594</v>
      </c>
      <c r="D165" s="79" t="s">
        <v>2</v>
      </c>
      <c r="E165" s="79">
        <v>1</v>
      </c>
      <c r="F165" s="81">
        <f>G172</f>
        <v>31.97</v>
      </c>
      <c r="G165" s="66">
        <f aca="true" t="shared" si="9" ref="G165:G171">TRUNC(E165*F165,2)</f>
        <v>31.97</v>
      </c>
    </row>
    <row r="166" spans="1:7" ht="30">
      <c r="A166" s="82"/>
      <c r="B166" s="83" t="s">
        <v>254</v>
      </c>
      <c r="C166" s="84" t="s">
        <v>255</v>
      </c>
      <c r="D166" s="83" t="s">
        <v>1</v>
      </c>
      <c r="E166" s="83">
        <v>0.037</v>
      </c>
      <c r="F166" s="85">
        <f>TRUNC(249.29,2)</f>
        <v>249.29</v>
      </c>
      <c r="G166" s="71">
        <f t="shared" si="9"/>
        <v>9.22</v>
      </c>
    </row>
    <row r="167" spans="1:7" ht="15.75">
      <c r="A167" s="82"/>
      <c r="B167" s="83" t="s">
        <v>256</v>
      </c>
      <c r="C167" s="84" t="s">
        <v>257</v>
      </c>
      <c r="D167" s="83" t="s">
        <v>2</v>
      </c>
      <c r="E167" s="83">
        <v>0.083</v>
      </c>
      <c r="F167" s="85">
        <f>TRUNC(8.07,2)</f>
        <v>8.07</v>
      </c>
      <c r="G167" s="71">
        <f t="shared" si="9"/>
        <v>0.66</v>
      </c>
    </row>
    <row r="168" spans="1:7" ht="15.75">
      <c r="A168" s="82"/>
      <c r="B168" s="83" t="s">
        <v>258</v>
      </c>
      <c r="C168" s="84" t="s">
        <v>259</v>
      </c>
      <c r="D168" s="83" t="s">
        <v>2</v>
      </c>
      <c r="E168" s="83">
        <v>0.2</v>
      </c>
      <c r="F168" s="85">
        <f>TRUNC(0.97,2)</f>
        <v>0.97</v>
      </c>
      <c r="G168" s="71">
        <f t="shared" si="9"/>
        <v>0.19</v>
      </c>
    </row>
    <row r="169" spans="1:7" ht="15.75">
      <c r="A169" s="82"/>
      <c r="B169" s="83" t="s">
        <v>248</v>
      </c>
      <c r="C169" s="84" t="s">
        <v>249</v>
      </c>
      <c r="D169" s="83" t="s">
        <v>1</v>
      </c>
      <c r="E169" s="83">
        <v>0.01</v>
      </c>
      <c r="F169" s="85">
        <f>TRUNC(54.29,2)</f>
        <v>54.29</v>
      </c>
      <c r="G169" s="71">
        <f t="shared" si="9"/>
        <v>0.54</v>
      </c>
    </row>
    <row r="170" spans="1:7" ht="15.75">
      <c r="A170" s="82"/>
      <c r="B170" s="83" t="s">
        <v>243</v>
      </c>
      <c r="C170" s="84" t="s">
        <v>178</v>
      </c>
      <c r="D170" s="83" t="s">
        <v>128</v>
      </c>
      <c r="E170" s="83">
        <v>0.454</v>
      </c>
      <c r="F170" s="85">
        <f>TRUNC(20.74,2)</f>
        <v>20.74</v>
      </c>
      <c r="G170" s="71">
        <f t="shared" si="9"/>
        <v>9.41</v>
      </c>
    </row>
    <row r="171" spans="1:7" ht="15.75">
      <c r="A171" s="82"/>
      <c r="B171" s="83" t="s">
        <v>250</v>
      </c>
      <c r="C171" s="84" t="s">
        <v>251</v>
      </c>
      <c r="D171" s="83" t="s">
        <v>128</v>
      </c>
      <c r="E171" s="83">
        <v>0.454</v>
      </c>
      <c r="F171" s="85">
        <f>TRUNC(26.33,2)</f>
        <v>26.33</v>
      </c>
      <c r="G171" s="71">
        <f t="shared" si="9"/>
        <v>11.95</v>
      </c>
    </row>
    <row r="172" spans="1:7" ht="15.75">
      <c r="A172" s="82"/>
      <c r="B172" s="83"/>
      <c r="C172" s="84"/>
      <c r="D172" s="83"/>
      <c r="E172" s="83" t="s">
        <v>3</v>
      </c>
      <c r="F172" s="85"/>
      <c r="G172" s="71">
        <f>TRUNC(SUM(G166:G171),2)</f>
        <v>31.97</v>
      </c>
    </row>
    <row r="173" spans="1:8" ht="21">
      <c r="A173" s="29" t="s">
        <v>69</v>
      </c>
      <c r="B173" s="48" t="s">
        <v>511</v>
      </c>
      <c r="C173" s="14" t="s">
        <v>510</v>
      </c>
      <c r="D173" s="48" t="s">
        <v>0</v>
      </c>
      <c r="E173" s="72"/>
      <c r="F173" s="107">
        <f>TRUNC(F174,2)</f>
        <v>2.26</v>
      </c>
      <c r="G173" s="73">
        <f>TRUNC((E173*F173),2)</f>
        <v>0</v>
      </c>
      <c r="H173" s="32"/>
    </row>
    <row r="174" spans="1:7" ht="15.75">
      <c r="A174" s="67"/>
      <c r="B174" s="68" t="s">
        <v>442</v>
      </c>
      <c r="C174" s="69" t="s">
        <v>421</v>
      </c>
      <c r="D174" s="68" t="s">
        <v>0</v>
      </c>
      <c r="E174" s="68">
        <v>1</v>
      </c>
      <c r="F174" s="70">
        <f>G183</f>
        <v>2.26</v>
      </c>
      <c r="G174" s="71">
        <f aca="true" t="shared" si="10" ref="G174:G182">TRUNC(E174*F174,2)</f>
        <v>2.26</v>
      </c>
    </row>
    <row r="175" spans="1:7" s="33" customFormat="1" ht="31.5">
      <c r="A175" s="130"/>
      <c r="B175" s="131" t="s">
        <v>451</v>
      </c>
      <c r="C175" s="132" t="s">
        <v>422</v>
      </c>
      <c r="D175" s="131" t="s">
        <v>125</v>
      </c>
      <c r="E175" s="198">
        <v>0</v>
      </c>
      <c r="F175" s="133">
        <f>TRUNC(3.27,2)</f>
        <v>3.27</v>
      </c>
      <c r="G175" s="134">
        <f t="shared" si="10"/>
        <v>0</v>
      </c>
    </row>
    <row r="176" spans="1:7" s="33" customFormat="1" ht="31.5">
      <c r="A176" s="199"/>
      <c r="B176" s="200" t="s">
        <v>509</v>
      </c>
      <c r="C176" s="201" t="s">
        <v>508</v>
      </c>
      <c r="D176" s="200" t="s">
        <v>125</v>
      </c>
      <c r="E176" s="202">
        <v>1.2</v>
      </c>
      <c r="F176" s="203">
        <v>1.55</v>
      </c>
      <c r="G176" s="204">
        <f t="shared" si="10"/>
        <v>1.86</v>
      </c>
    </row>
    <row r="177" spans="1:7" ht="15.75">
      <c r="A177" s="67"/>
      <c r="B177" s="68" t="s">
        <v>243</v>
      </c>
      <c r="C177" s="69" t="s">
        <v>178</v>
      </c>
      <c r="D177" s="68" t="s">
        <v>128</v>
      </c>
      <c r="E177" s="68">
        <v>0.002</v>
      </c>
      <c r="F177" s="70">
        <f>TRUNC(20.74,2)</f>
        <v>20.74</v>
      </c>
      <c r="G177" s="71">
        <f t="shared" si="10"/>
        <v>0.04</v>
      </c>
    </row>
    <row r="178" spans="1:7" ht="45">
      <c r="A178" s="67"/>
      <c r="B178" s="68" t="s">
        <v>452</v>
      </c>
      <c r="C178" s="69" t="s">
        <v>453</v>
      </c>
      <c r="D178" s="68" t="s">
        <v>132</v>
      </c>
      <c r="E178" s="68">
        <v>0.001</v>
      </c>
      <c r="F178" s="70">
        <f>TRUNC(38.93,2)</f>
        <v>38.93</v>
      </c>
      <c r="G178" s="71">
        <f t="shared" si="10"/>
        <v>0.03</v>
      </c>
    </row>
    <row r="179" spans="1:7" ht="30">
      <c r="A179" s="67"/>
      <c r="B179" s="68" t="s">
        <v>454</v>
      </c>
      <c r="C179" s="69" t="s">
        <v>455</v>
      </c>
      <c r="D179" s="68" t="s">
        <v>132</v>
      </c>
      <c r="E179" s="68">
        <v>0.0014</v>
      </c>
      <c r="F179" s="70">
        <f>TRUNC(35.34,2)</f>
        <v>35.34</v>
      </c>
      <c r="G179" s="71">
        <f t="shared" si="10"/>
        <v>0.04</v>
      </c>
    </row>
    <row r="180" spans="1:7" ht="30">
      <c r="A180" s="67"/>
      <c r="B180" s="68" t="s">
        <v>456</v>
      </c>
      <c r="C180" s="69" t="s">
        <v>457</v>
      </c>
      <c r="D180" s="68" t="s">
        <v>133</v>
      </c>
      <c r="E180" s="68">
        <v>0.0017</v>
      </c>
      <c r="F180" s="70">
        <f>TRUNC(81.95,2)</f>
        <v>81.95</v>
      </c>
      <c r="G180" s="71">
        <f t="shared" si="10"/>
        <v>0.13</v>
      </c>
    </row>
    <row r="181" spans="1:7" ht="45">
      <c r="A181" s="67"/>
      <c r="B181" s="68" t="s">
        <v>440</v>
      </c>
      <c r="C181" s="69" t="s">
        <v>441</v>
      </c>
      <c r="D181" s="68" t="s">
        <v>133</v>
      </c>
      <c r="E181" s="68">
        <v>0.001</v>
      </c>
      <c r="F181" s="70">
        <f>TRUNC(169.47,2)</f>
        <v>169.47</v>
      </c>
      <c r="G181" s="71">
        <f t="shared" si="10"/>
        <v>0.16</v>
      </c>
    </row>
    <row r="182" spans="1:7" ht="30">
      <c r="A182" s="67"/>
      <c r="B182" s="68" t="s">
        <v>458</v>
      </c>
      <c r="C182" s="69" t="s">
        <v>459</v>
      </c>
      <c r="D182" s="68" t="s">
        <v>133</v>
      </c>
      <c r="E182" s="68">
        <v>0.0017</v>
      </c>
      <c r="F182" s="70">
        <f>TRUNC(5.53,2)</f>
        <v>5.53</v>
      </c>
      <c r="G182" s="71">
        <f t="shared" si="10"/>
        <v>0</v>
      </c>
    </row>
    <row r="183" spans="1:7" ht="15.75">
      <c r="A183" s="67"/>
      <c r="B183" s="68"/>
      <c r="C183" s="69"/>
      <c r="D183" s="68"/>
      <c r="E183" s="68" t="s">
        <v>3</v>
      </c>
      <c r="F183" s="70"/>
      <c r="G183" s="71">
        <f>TRUNC(SUM(G175:G182),2)</f>
        <v>2.26</v>
      </c>
    </row>
    <row r="184" spans="1:7" ht="75">
      <c r="A184" s="29" t="s">
        <v>70</v>
      </c>
      <c r="B184" s="48" t="s">
        <v>460</v>
      </c>
      <c r="C184" s="14" t="s">
        <v>445</v>
      </c>
      <c r="D184" s="48" t="s">
        <v>0</v>
      </c>
      <c r="E184" s="72"/>
      <c r="F184" s="48">
        <f>TRUNC(F185,2)</f>
        <v>48.69</v>
      </c>
      <c r="G184" s="73">
        <f>TRUNC((E184*F184),2)</f>
        <v>0</v>
      </c>
    </row>
    <row r="185" spans="1:7" ht="75">
      <c r="A185" s="64" t="s">
        <v>446</v>
      </c>
      <c r="B185" s="47" t="s">
        <v>460</v>
      </c>
      <c r="C185" s="16" t="s">
        <v>461</v>
      </c>
      <c r="D185" s="47" t="s">
        <v>0</v>
      </c>
      <c r="E185" s="47">
        <v>1</v>
      </c>
      <c r="F185" s="65">
        <f>G202</f>
        <v>48.69</v>
      </c>
      <c r="G185" s="66">
        <f aca="true" t="shared" si="11" ref="G185:G201">TRUNC(E185*F185,2)</f>
        <v>48.69</v>
      </c>
    </row>
    <row r="186" spans="1:7" ht="15.75">
      <c r="A186" s="67"/>
      <c r="B186" s="68" t="s">
        <v>136</v>
      </c>
      <c r="C186" s="69" t="s">
        <v>262</v>
      </c>
      <c r="D186" s="68" t="s">
        <v>125</v>
      </c>
      <c r="E186" s="68">
        <v>10</v>
      </c>
      <c r="F186" s="70">
        <f>TRUNC(2.2727,2)</f>
        <v>2.27</v>
      </c>
      <c r="G186" s="71">
        <f t="shared" si="11"/>
        <v>22.7</v>
      </c>
    </row>
    <row r="187" spans="1:7" ht="15.75">
      <c r="A187" s="67"/>
      <c r="B187" s="68" t="s">
        <v>135</v>
      </c>
      <c r="C187" s="69" t="s">
        <v>261</v>
      </c>
      <c r="D187" s="68" t="s">
        <v>125</v>
      </c>
      <c r="E187" s="68">
        <v>0.9772</v>
      </c>
      <c r="F187" s="70">
        <f>TRUNC(0.35,2)</f>
        <v>0.35</v>
      </c>
      <c r="G187" s="71">
        <f t="shared" si="11"/>
        <v>0.34</v>
      </c>
    </row>
    <row r="188" spans="1:7" ht="15.75">
      <c r="A188" s="67"/>
      <c r="B188" s="68" t="s">
        <v>134</v>
      </c>
      <c r="C188" s="69" t="s">
        <v>260</v>
      </c>
      <c r="D188" s="68" t="s">
        <v>53</v>
      </c>
      <c r="E188" s="68">
        <v>0.10585</v>
      </c>
      <c r="F188" s="70">
        <f>TRUNC(52.215,2)</f>
        <v>52.21</v>
      </c>
      <c r="G188" s="71">
        <f t="shared" si="11"/>
        <v>5.52</v>
      </c>
    </row>
    <row r="189" spans="1:7" ht="15.75">
      <c r="A189" s="67"/>
      <c r="B189" s="68" t="s">
        <v>150</v>
      </c>
      <c r="C189" s="69" t="s">
        <v>338</v>
      </c>
      <c r="D189" s="68" t="s">
        <v>1</v>
      </c>
      <c r="E189" s="68">
        <v>0.04</v>
      </c>
      <c r="F189" s="70">
        <f>TRUNC(50,2)</f>
        <v>50</v>
      </c>
      <c r="G189" s="71">
        <f t="shared" si="11"/>
        <v>2</v>
      </c>
    </row>
    <row r="190" spans="1:7" ht="15.75">
      <c r="A190" s="67"/>
      <c r="B190" s="68" t="s">
        <v>209</v>
      </c>
      <c r="C190" s="69" t="s">
        <v>210</v>
      </c>
      <c r="D190" s="68" t="s">
        <v>128</v>
      </c>
      <c r="E190" s="68">
        <v>0.04532</v>
      </c>
      <c r="F190" s="70">
        <f>TRUNC(14.47,2)</f>
        <v>14.47</v>
      </c>
      <c r="G190" s="71">
        <f t="shared" si="11"/>
        <v>0.65</v>
      </c>
    </row>
    <row r="191" spans="1:7" ht="15.75">
      <c r="A191" s="67"/>
      <c r="B191" s="68" t="s">
        <v>462</v>
      </c>
      <c r="C191" s="69" t="s">
        <v>463</v>
      </c>
      <c r="D191" s="68" t="s">
        <v>128</v>
      </c>
      <c r="E191" s="68">
        <v>0.002575</v>
      </c>
      <c r="F191" s="70">
        <f>TRUNC(27.64,2)</f>
        <v>27.64</v>
      </c>
      <c r="G191" s="71">
        <f t="shared" si="11"/>
        <v>0.07</v>
      </c>
    </row>
    <row r="192" spans="1:7" ht="15.75">
      <c r="A192" s="67"/>
      <c r="B192" s="68" t="s">
        <v>278</v>
      </c>
      <c r="C192" s="69" t="s">
        <v>279</v>
      </c>
      <c r="D192" s="68" t="s">
        <v>128</v>
      </c>
      <c r="E192" s="68">
        <v>0.0034</v>
      </c>
      <c r="F192" s="70">
        <f>TRUNC(153.758,2)</f>
        <v>153.75</v>
      </c>
      <c r="G192" s="71">
        <f t="shared" si="11"/>
        <v>0.52</v>
      </c>
    </row>
    <row r="193" spans="1:7" ht="15.75">
      <c r="A193" s="67"/>
      <c r="B193" s="68" t="s">
        <v>273</v>
      </c>
      <c r="C193" s="69" t="s">
        <v>274</v>
      </c>
      <c r="D193" s="68" t="s">
        <v>128</v>
      </c>
      <c r="E193" s="68">
        <v>0.005319</v>
      </c>
      <c r="F193" s="70">
        <f>TRUNC(96.8816,2)</f>
        <v>96.88</v>
      </c>
      <c r="G193" s="71">
        <f t="shared" si="11"/>
        <v>0.51</v>
      </c>
    </row>
    <row r="194" spans="1:7" ht="15.75">
      <c r="A194" s="67"/>
      <c r="B194" s="68" t="s">
        <v>271</v>
      </c>
      <c r="C194" s="69" t="s">
        <v>272</v>
      </c>
      <c r="D194" s="68" t="s">
        <v>128</v>
      </c>
      <c r="E194" s="68">
        <v>0.005319</v>
      </c>
      <c r="F194" s="70">
        <f>TRUNC(2423.9602,2)</f>
        <v>2423.96</v>
      </c>
      <c r="G194" s="71">
        <f t="shared" si="11"/>
        <v>12.89</v>
      </c>
    </row>
    <row r="195" spans="1:7" ht="15.75">
      <c r="A195" s="67"/>
      <c r="B195" s="68" t="s">
        <v>464</v>
      </c>
      <c r="C195" s="69" t="s">
        <v>465</v>
      </c>
      <c r="D195" s="68" t="s">
        <v>128</v>
      </c>
      <c r="E195" s="68">
        <v>0.005319</v>
      </c>
      <c r="F195" s="70">
        <f>TRUNC(199.1662,2)</f>
        <v>199.16</v>
      </c>
      <c r="G195" s="71">
        <f t="shared" si="11"/>
        <v>1.05</v>
      </c>
    </row>
    <row r="196" spans="1:7" ht="15.75">
      <c r="A196" s="67"/>
      <c r="B196" s="68" t="s">
        <v>267</v>
      </c>
      <c r="C196" s="69" t="s">
        <v>268</v>
      </c>
      <c r="D196" s="68" t="s">
        <v>128</v>
      </c>
      <c r="E196" s="68">
        <v>0.0016</v>
      </c>
      <c r="F196" s="70">
        <f>TRUNC(101.8882,2)</f>
        <v>101.88</v>
      </c>
      <c r="G196" s="71">
        <f t="shared" si="11"/>
        <v>0.16</v>
      </c>
    </row>
    <row r="197" spans="1:7" ht="15.75">
      <c r="A197" s="67"/>
      <c r="B197" s="68" t="s">
        <v>276</v>
      </c>
      <c r="C197" s="69" t="s">
        <v>277</v>
      </c>
      <c r="D197" s="68" t="s">
        <v>128</v>
      </c>
      <c r="E197" s="68">
        <v>0.00191</v>
      </c>
      <c r="F197" s="70">
        <f>TRUNC(57.3832,2)</f>
        <v>57.38</v>
      </c>
      <c r="G197" s="71">
        <f t="shared" si="11"/>
        <v>0.1</v>
      </c>
    </row>
    <row r="198" spans="1:7" ht="15.75">
      <c r="A198" s="67"/>
      <c r="B198" s="68" t="s">
        <v>265</v>
      </c>
      <c r="C198" s="69" t="s">
        <v>266</v>
      </c>
      <c r="D198" s="68" t="s">
        <v>128</v>
      </c>
      <c r="E198" s="68">
        <v>0.00229</v>
      </c>
      <c r="F198" s="70">
        <f>TRUNC(95.8884,2)</f>
        <v>95.88</v>
      </c>
      <c r="G198" s="71">
        <f t="shared" si="11"/>
        <v>0.21</v>
      </c>
    </row>
    <row r="199" spans="1:7" ht="15.75">
      <c r="A199" s="67"/>
      <c r="B199" s="68" t="s">
        <v>263</v>
      </c>
      <c r="C199" s="69" t="s">
        <v>264</v>
      </c>
      <c r="D199" s="68" t="s">
        <v>128</v>
      </c>
      <c r="E199" s="68">
        <v>0.00303</v>
      </c>
      <c r="F199" s="70">
        <f>TRUNC(44.54,2)</f>
        <v>44.54</v>
      </c>
      <c r="G199" s="71">
        <f t="shared" si="11"/>
        <v>0.13</v>
      </c>
    </row>
    <row r="200" spans="1:7" ht="30">
      <c r="A200" s="67"/>
      <c r="B200" s="68" t="s">
        <v>466</v>
      </c>
      <c r="C200" s="69" t="s">
        <v>467</v>
      </c>
      <c r="D200" s="68" t="s">
        <v>0</v>
      </c>
      <c r="E200" s="68">
        <v>1</v>
      </c>
      <c r="F200" s="70">
        <f>TRUNC(1.1204,2)</f>
        <v>1.12</v>
      </c>
      <c r="G200" s="71">
        <f t="shared" si="11"/>
        <v>1.12</v>
      </c>
    </row>
    <row r="201" spans="1:7" ht="15.75">
      <c r="A201" s="67"/>
      <c r="B201" s="68" t="s">
        <v>269</v>
      </c>
      <c r="C201" s="69" t="s">
        <v>270</v>
      </c>
      <c r="D201" s="68" t="s">
        <v>128</v>
      </c>
      <c r="E201" s="68">
        <v>0.00372</v>
      </c>
      <c r="F201" s="70">
        <f>TRUNC(194.4488,2)</f>
        <v>194.44</v>
      </c>
      <c r="G201" s="71">
        <f t="shared" si="11"/>
        <v>0.72</v>
      </c>
    </row>
    <row r="202" spans="1:7" ht="15.75">
      <c r="A202" s="67"/>
      <c r="B202" s="68"/>
      <c r="C202" s="69"/>
      <c r="D202" s="68"/>
      <c r="E202" s="68" t="s">
        <v>3</v>
      </c>
      <c r="F202" s="70"/>
      <c r="G202" s="71">
        <f>TRUNC(SUM(G186:G201),2)</f>
        <v>48.69</v>
      </c>
    </row>
    <row r="203" spans="1:7" ht="46.5">
      <c r="A203" s="29" t="s">
        <v>79</v>
      </c>
      <c r="B203" s="48" t="s">
        <v>275</v>
      </c>
      <c r="C203" s="14" t="s">
        <v>137</v>
      </c>
      <c r="D203" s="48" t="s">
        <v>53</v>
      </c>
      <c r="E203" s="72"/>
      <c r="F203" s="107">
        <f>TRUNC(F204,2)</f>
        <v>7.08</v>
      </c>
      <c r="G203" s="73">
        <f>TRUNC((E203*F203),2)</f>
        <v>0</v>
      </c>
    </row>
    <row r="204" spans="1:7" s="20" customFormat="1" ht="45">
      <c r="A204" s="82"/>
      <c r="B204" s="83" t="s">
        <v>275</v>
      </c>
      <c r="C204" s="84" t="s">
        <v>177</v>
      </c>
      <c r="D204" s="83" t="s">
        <v>53</v>
      </c>
      <c r="E204" s="83">
        <v>1</v>
      </c>
      <c r="F204" s="85">
        <f>G207</f>
        <v>7.08</v>
      </c>
      <c r="G204" s="71">
        <f>TRUNC(E204*F204,2)</f>
        <v>7.08</v>
      </c>
    </row>
    <row r="205" spans="1:7" s="20" customFormat="1" ht="15.75">
      <c r="A205" s="82"/>
      <c r="B205" s="83" t="s">
        <v>276</v>
      </c>
      <c r="C205" s="84" t="s">
        <v>277</v>
      </c>
      <c r="D205" s="83" t="s">
        <v>128</v>
      </c>
      <c r="E205" s="83">
        <v>0.07</v>
      </c>
      <c r="F205" s="85">
        <f>TRUNC(57.3832,2)</f>
        <v>57.38</v>
      </c>
      <c r="G205" s="71">
        <f>TRUNC(E205*F205,2)</f>
        <v>4.01</v>
      </c>
    </row>
    <row r="206" spans="1:7" s="20" customFormat="1" ht="15.75">
      <c r="A206" s="82"/>
      <c r="B206" s="83" t="s">
        <v>278</v>
      </c>
      <c r="C206" s="84" t="s">
        <v>279</v>
      </c>
      <c r="D206" s="83" t="s">
        <v>128</v>
      </c>
      <c r="E206" s="83">
        <v>0.02</v>
      </c>
      <c r="F206" s="85">
        <f>TRUNC(153.758,2)</f>
        <v>153.75</v>
      </c>
      <c r="G206" s="71">
        <f>TRUNC(E206*F206,2)</f>
        <v>3.07</v>
      </c>
    </row>
    <row r="207" spans="1:7" s="20" customFormat="1" ht="15.75">
      <c r="A207" s="82"/>
      <c r="B207" s="83"/>
      <c r="C207" s="84"/>
      <c r="D207" s="83"/>
      <c r="E207" s="83" t="s">
        <v>3</v>
      </c>
      <c r="F207" s="85"/>
      <c r="G207" s="71">
        <f>TRUNC(SUM(G205:G206),2)</f>
        <v>7.08</v>
      </c>
    </row>
    <row r="208" spans="1:8" ht="46.5">
      <c r="A208" s="21" t="s">
        <v>648</v>
      </c>
      <c r="B208" s="45" t="s">
        <v>59</v>
      </c>
      <c r="C208" s="15" t="s">
        <v>423</v>
      </c>
      <c r="D208" s="45" t="s">
        <v>56</v>
      </c>
      <c r="E208" s="62"/>
      <c r="F208" s="45">
        <f>TRUNC(F209,2)</f>
        <v>0.56</v>
      </c>
      <c r="G208" s="63">
        <f>TRUNC((E208*F208),2)</f>
        <v>0</v>
      </c>
      <c r="H208" s="32">
        <f>(26.9+82)/2</f>
        <v>54.45</v>
      </c>
    </row>
    <row r="209" spans="1:7" ht="30">
      <c r="A209" s="78"/>
      <c r="B209" s="79" t="s">
        <v>280</v>
      </c>
      <c r="C209" s="80" t="s">
        <v>281</v>
      </c>
      <c r="D209" s="79" t="s">
        <v>56</v>
      </c>
      <c r="E209" s="79">
        <v>1</v>
      </c>
      <c r="F209" s="81">
        <f>G212</f>
        <v>0.56</v>
      </c>
      <c r="G209" s="66">
        <f>TRUNC(E209*F209,2)</f>
        <v>0.56</v>
      </c>
    </row>
    <row r="210" spans="1:7" ht="45">
      <c r="A210" s="82"/>
      <c r="B210" s="83" t="s">
        <v>282</v>
      </c>
      <c r="C210" s="84" t="s">
        <v>283</v>
      </c>
      <c r="D210" s="83" t="s">
        <v>132</v>
      </c>
      <c r="E210" s="83">
        <v>0.00058</v>
      </c>
      <c r="F210" s="85">
        <f>TRUNC(47.77,2)</f>
        <v>47.77</v>
      </c>
      <c r="G210" s="71">
        <f>TRUNC(E210*F210,2)</f>
        <v>0.02</v>
      </c>
    </row>
    <row r="211" spans="1:7" ht="45">
      <c r="A211" s="82"/>
      <c r="B211" s="83" t="s">
        <v>284</v>
      </c>
      <c r="C211" s="84" t="s">
        <v>285</v>
      </c>
      <c r="D211" s="83" t="s">
        <v>133</v>
      </c>
      <c r="E211" s="83">
        <v>0.00231</v>
      </c>
      <c r="F211" s="85">
        <f>TRUNC(235.83,2)</f>
        <v>235.83</v>
      </c>
      <c r="G211" s="71">
        <f>TRUNC(E211*F211,2)</f>
        <v>0.54</v>
      </c>
    </row>
    <row r="212" spans="1:7" ht="15.75">
      <c r="A212" s="82"/>
      <c r="B212" s="83"/>
      <c r="C212" s="84"/>
      <c r="D212" s="83"/>
      <c r="E212" s="83" t="s">
        <v>3</v>
      </c>
      <c r="F212" s="85"/>
      <c r="G212" s="71">
        <f>TRUNC(SUM(G210:G211),2)</f>
        <v>0.56</v>
      </c>
    </row>
    <row r="213" spans="1:7" s="19" customFormat="1" ht="15.75">
      <c r="A213" s="94"/>
      <c r="B213" s="95"/>
      <c r="C213" s="96"/>
      <c r="D213" s="95"/>
      <c r="E213" s="95"/>
      <c r="F213" s="95" t="s">
        <v>118</v>
      </c>
      <c r="G213" s="97"/>
    </row>
    <row r="214" spans="1:7" s="20" customFormat="1" ht="15.75">
      <c r="A214" s="94" t="s">
        <v>22</v>
      </c>
      <c r="B214" s="95"/>
      <c r="C214" s="96" t="s">
        <v>89</v>
      </c>
      <c r="D214" s="95"/>
      <c r="E214" s="95"/>
      <c r="F214" s="95"/>
      <c r="G214" s="95"/>
    </row>
    <row r="215" spans="1:8" ht="60">
      <c r="A215" s="29">
        <v>41</v>
      </c>
      <c r="B215" s="48" t="s">
        <v>866</v>
      </c>
      <c r="C215" s="14" t="s">
        <v>867</v>
      </c>
      <c r="D215" s="48" t="s">
        <v>1</v>
      </c>
      <c r="E215" s="88"/>
      <c r="F215" s="48">
        <f>TRUNC(F216,2)</f>
        <v>8.5</v>
      </c>
      <c r="G215" s="73">
        <f>TRUNC((E215*F215),2)</f>
        <v>0</v>
      </c>
      <c r="H215" s="28"/>
    </row>
    <row r="216" spans="1:7" ht="60">
      <c r="A216" s="67"/>
      <c r="B216" s="68" t="s">
        <v>866</v>
      </c>
      <c r="C216" s="69" t="s">
        <v>867</v>
      </c>
      <c r="D216" s="68" t="s">
        <v>1</v>
      </c>
      <c r="E216" s="68">
        <v>1</v>
      </c>
      <c r="F216" s="70">
        <f>G220</f>
        <v>8.5</v>
      </c>
      <c r="G216" s="71">
        <f>TRUNC(E216*F216,2)</f>
        <v>8.5</v>
      </c>
    </row>
    <row r="217" spans="1:7" ht="15.75">
      <c r="A217" s="67"/>
      <c r="B217" s="68" t="s">
        <v>243</v>
      </c>
      <c r="C217" s="69" t="s">
        <v>178</v>
      </c>
      <c r="D217" s="68" t="s">
        <v>128</v>
      </c>
      <c r="E217" s="68">
        <v>0.0742</v>
      </c>
      <c r="F217" s="70">
        <f>TRUNC(20.74,2)</f>
        <v>20.74</v>
      </c>
      <c r="G217" s="71">
        <f>TRUNC(E217*F217,2)</f>
        <v>1.53</v>
      </c>
    </row>
    <row r="218" spans="1:7" ht="30">
      <c r="A218" s="67"/>
      <c r="B218" s="68" t="s">
        <v>868</v>
      </c>
      <c r="C218" s="69" t="s">
        <v>869</v>
      </c>
      <c r="D218" s="68" t="s">
        <v>132</v>
      </c>
      <c r="E218" s="68">
        <v>0.0387</v>
      </c>
      <c r="F218" s="70">
        <f>TRUNC(55.69,2)</f>
        <v>55.69</v>
      </c>
      <c r="G218" s="71">
        <f>TRUNC(E218*F218,2)</f>
        <v>2.15</v>
      </c>
    </row>
    <row r="219" spans="1:7" ht="30">
      <c r="A219" s="67"/>
      <c r="B219" s="68" t="s">
        <v>870</v>
      </c>
      <c r="C219" s="69" t="s">
        <v>871</v>
      </c>
      <c r="D219" s="68" t="s">
        <v>133</v>
      </c>
      <c r="E219" s="68">
        <v>0.0356</v>
      </c>
      <c r="F219" s="70">
        <f>TRUNC(135.62,2)</f>
        <v>135.62</v>
      </c>
      <c r="G219" s="71">
        <f>TRUNC(E219*F219,2)</f>
        <v>4.82</v>
      </c>
    </row>
    <row r="220" spans="1:7" ht="15.75">
      <c r="A220" s="67"/>
      <c r="B220" s="68"/>
      <c r="C220" s="69"/>
      <c r="D220" s="68"/>
      <c r="E220" s="68" t="s">
        <v>3</v>
      </c>
      <c r="F220" s="70"/>
      <c r="G220" s="71">
        <f>TRUNC(SUM(G217:G219),2)</f>
        <v>8.5</v>
      </c>
    </row>
    <row r="221" spans="1:7" s="181" customFormat="1" ht="60">
      <c r="A221" s="24" t="s">
        <v>14</v>
      </c>
      <c r="B221" s="86" t="s">
        <v>872</v>
      </c>
      <c r="C221" s="87" t="s">
        <v>873</v>
      </c>
      <c r="D221" s="108" t="s">
        <v>1</v>
      </c>
      <c r="E221" s="108"/>
      <c r="F221" s="108">
        <f>TRUNC(F222,2)</f>
        <v>7.76</v>
      </c>
      <c r="G221" s="111">
        <f>TRUNC((E221*F221),2)</f>
        <v>0</v>
      </c>
    </row>
    <row r="222" spans="1:7" s="20" customFormat="1" ht="60">
      <c r="A222" s="78"/>
      <c r="B222" s="79" t="s">
        <v>872</v>
      </c>
      <c r="C222" s="80" t="s">
        <v>873</v>
      </c>
      <c r="D222" s="79" t="s">
        <v>1</v>
      </c>
      <c r="E222" s="79">
        <v>1</v>
      </c>
      <c r="F222" s="81">
        <f>G226</f>
        <v>7.76</v>
      </c>
      <c r="G222" s="66">
        <f>TRUNC(E222*F222,2)</f>
        <v>7.76</v>
      </c>
    </row>
    <row r="223" spans="1:7" s="20" customFormat="1" ht="15.75">
      <c r="A223" s="82"/>
      <c r="B223" s="83" t="s">
        <v>243</v>
      </c>
      <c r="C223" s="84" t="s">
        <v>178</v>
      </c>
      <c r="D223" s="83" t="s">
        <v>128</v>
      </c>
      <c r="E223" s="83">
        <v>0.0679</v>
      </c>
      <c r="F223" s="85">
        <f>TRUNC(20.74,2)</f>
        <v>20.74</v>
      </c>
      <c r="G223" s="71">
        <f>TRUNC(E223*F223,2)</f>
        <v>1.4</v>
      </c>
    </row>
    <row r="224" spans="1:7" s="20" customFormat="1" ht="30">
      <c r="A224" s="82"/>
      <c r="B224" s="83" t="s">
        <v>868</v>
      </c>
      <c r="C224" s="84" t="s">
        <v>869</v>
      </c>
      <c r="D224" s="83" t="s">
        <v>132</v>
      </c>
      <c r="E224" s="83">
        <v>0.0353</v>
      </c>
      <c r="F224" s="85">
        <f>TRUNC(55.69,2)</f>
        <v>55.69</v>
      </c>
      <c r="G224" s="71">
        <f>TRUNC(E224*F224,2)</f>
        <v>1.96</v>
      </c>
    </row>
    <row r="225" spans="1:7" s="20" customFormat="1" ht="30">
      <c r="A225" s="82"/>
      <c r="B225" s="83" t="s">
        <v>870</v>
      </c>
      <c r="C225" s="84" t="s">
        <v>871</v>
      </c>
      <c r="D225" s="83" t="s">
        <v>133</v>
      </c>
      <c r="E225" s="83">
        <v>0.0325</v>
      </c>
      <c r="F225" s="85">
        <f>TRUNC(135.62,2)</f>
        <v>135.62</v>
      </c>
      <c r="G225" s="71">
        <f>TRUNC(E225*F225,2)</f>
        <v>4.4</v>
      </c>
    </row>
    <row r="226" spans="1:7" s="20" customFormat="1" ht="15.75">
      <c r="A226" s="82"/>
      <c r="B226" s="83"/>
      <c r="C226" s="84"/>
      <c r="D226" s="83"/>
      <c r="E226" s="83" t="s">
        <v>3</v>
      </c>
      <c r="F226" s="85"/>
      <c r="G226" s="71">
        <f>TRUNC(SUM(G223:G225),2)</f>
        <v>7.76</v>
      </c>
    </row>
    <row r="227" spans="1:8" s="23" customFormat="1" ht="30">
      <c r="A227" s="24" t="s">
        <v>15</v>
      </c>
      <c r="B227" s="108" t="s">
        <v>286</v>
      </c>
      <c r="C227" s="109" t="s">
        <v>90</v>
      </c>
      <c r="D227" s="108" t="s">
        <v>1</v>
      </c>
      <c r="E227" s="110"/>
      <c r="F227" s="108">
        <f>TRUNC(F228,2)</f>
        <v>11.12</v>
      </c>
      <c r="G227" s="111">
        <f>TRUNC((E227*F227),2)</f>
        <v>0</v>
      </c>
      <c r="H227" s="37"/>
    </row>
    <row r="228" spans="1:7" s="20" customFormat="1" ht="45">
      <c r="A228" s="78"/>
      <c r="B228" s="79" t="s">
        <v>286</v>
      </c>
      <c r="C228" s="80" t="s">
        <v>287</v>
      </c>
      <c r="D228" s="79" t="s">
        <v>1</v>
      </c>
      <c r="E228" s="79">
        <v>1</v>
      </c>
      <c r="F228" s="81">
        <f>G234</f>
        <v>11.12</v>
      </c>
      <c r="G228" s="66">
        <f aca="true" t="shared" si="12" ref="G228:G233">TRUNC(E228*F228,2)</f>
        <v>11.12</v>
      </c>
    </row>
    <row r="229" spans="1:7" s="20" customFormat="1" ht="15.75">
      <c r="A229" s="82"/>
      <c r="B229" s="83" t="s">
        <v>209</v>
      </c>
      <c r="C229" s="84" t="s">
        <v>210</v>
      </c>
      <c r="D229" s="83" t="s">
        <v>128</v>
      </c>
      <c r="E229" s="83">
        <v>0.6146010000000001</v>
      </c>
      <c r="F229" s="85">
        <f>TRUNC(14.47,2)</f>
        <v>14.47</v>
      </c>
      <c r="G229" s="71">
        <f t="shared" si="12"/>
        <v>8.89</v>
      </c>
    </row>
    <row r="230" spans="1:7" s="20" customFormat="1" ht="15.75">
      <c r="A230" s="82"/>
      <c r="B230" s="83" t="s">
        <v>239</v>
      </c>
      <c r="C230" s="84" t="s">
        <v>240</v>
      </c>
      <c r="D230" s="83" t="s">
        <v>128</v>
      </c>
      <c r="E230" s="83">
        <v>0.00075</v>
      </c>
      <c r="F230" s="85">
        <f>TRUNC(40.162,2)</f>
        <v>40.16</v>
      </c>
      <c r="G230" s="71">
        <f t="shared" si="12"/>
        <v>0.03</v>
      </c>
    </row>
    <row r="231" spans="1:7" s="20" customFormat="1" ht="15.75">
      <c r="A231" s="82"/>
      <c r="B231" s="83" t="s">
        <v>241</v>
      </c>
      <c r="C231" s="84" t="s">
        <v>242</v>
      </c>
      <c r="D231" s="83" t="s">
        <v>128</v>
      </c>
      <c r="E231" s="83">
        <v>0.01425</v>
      </c>
      <c r="F231" s="85">
        <f>TRUNC(113.896,2)</f>
        <v>113.89</v>
      </c>
      <c r="G231" s="71">
        <f t="shared" si="12"/>
        <v>1.62</v>
      </c>
    </row>
    <row r="232" spans="1:7" s="20" customFormat="1" ht="15.75">
      <c r="A232" s="82"/>
      <c r="B232" s="83" t="s">
        <v>288</v>
      </c>
      <c r="C232" s="84" t="s">
        <v>289</v>
      </c>
      <c r="D232" s="83" t="s">
        <v>128</v>
      </c>
      <c r="E232" s="83">
        <v>0.1283</v>
      </c>
      <c r="F232" s="85">
        <f>TRUNC(3.9264,2)</f>
        <v>3.92</v>
      </c>
      <c r="G232" s="71">
        <f t="shared" si="12"/>
        <v>0.5</v>
      </c>
    </row>
    <row r="233" spans="1:7" s="20" customFormat="1" ht="15.75">
      <c r="A233" s="82"/>
      <c r="B233" s="83" t="s">
        <v>290</v>
      </c>
      <c r="C233" s="84" t="s">
        <v>291</v>
      </c>
      <c r="D233" s="83" t="s">
        <v>128</v>
      </c>
      <c r="E233" s="83">
        <v>0.0154</v>
      </c>
      <c r="F233" s="85">
        <f>TRUNC(5.4974,2)</f>
        <v>5.49</v>
      </c>
      <c r="G233" s="71">
        <f t="shared" si="12"/>
        <v>0.08</v>
      </c>
    </row>
    <row r="234" spans="1:7" s="20" customFormat="1" ht="15.75">
      <c r="A234" s="82"/>
      <c r="B234" s="83"/>
      <c r="C234" s="84"/>
      <c r="D234" s="83"/>
      <c r="E234" s="83" t="s">
        <v>3</v>
      </c>
      <c r="F234" s="85"/>
      <c r="G234" s="71">
        <f>TRUNC(SUM(G229:G233),2)</f>
        <v>11.12</v>
      </c>
    </row>
    <row r="235" spans="1:7" ht="45">
      <c r="A235" s="21" t="s">
        <v>57</v>
      </c>
      <c r="B235" s="75" t="s">
        <v>615</v>
      </c>
      <c r="C235" s="15" t="s">
        <v>616</v>
      </c>
      <c r="D235" s="45" t="s">
        <v>1</v>
      </c>
      <c r="E235" s="46"/>
      <c r="F235" s="120">
        <f>TRUNC(F236,2)</f>
        <v>107.14</v>
      </c>
      <c r="G235" s="63">
        <f>TRUNC((E235*F235),2)</f>
        <v>0</v>
      </c>
    </row>
    <row r="236" spans="1:7" ht="60">
      <c r="A236" s="64"/>
      <c r="B236" s="18" t="s">
        <v>608</v>
      </c>
      <c r="C236" s="16" t="s">
        <v>609</v>
      </c>
      <c r="D236" s="47" t="s">
        <v>1</v>
      </c>
      <c r="E236" s="65">
        <v>1</v>
      </c>
      <c r="F236" s="112">
        <f>G243</f>
        <v>107.14000000000001</v>
      </c>
      <c r="G236" s="66">
        <f aca="true" t="shared" si="13" ref="G236:G242">TRUNC(E236*F236,2)</f>
        <v>107.14</v>
      </c>
    </row>
    <row r="237" spans="1:7" s="19" customFormat="1" ht="15.75">
      <c r="A237" s="252"/>
      <c r="B237" s="206" t="s">
        <v>614</v>
      </c>
      <c r="C237" s="253" t="s">
        <v>607</v>
      </c>
      <c r="D237" s="254" t="s">
        <v>1</v>
      </c>
      <c r="E237" s="255">
        <v>1</v>
      </c>
      <c r="F237" s="256">
        <v>53.2</v>
      </c>
      <c r="G237" s="134">
        <f t="shared" si="13"/>
        <v>53.2</v>
      </c>
    </row>
    <row r="238" spans="1:7" ht="15.75">
      <c r="A238" s="67"/>
      <c r="B238" s="113" t="s">
        <v>209</v>
      </c>
      <c r="C238" s="69" t="s">
        <v>210</v>
      </c>
      <c r="D238" s="68" t="s">
        <v>128</v>
      </c>
      <c r="E238" s="70">
        <v>0.0412</v>
      </c>
      <c r="F238" s="114">
        <f>TRUNC(14.47,2)</f>
        <v>14.47</v>
      </c>
      <c r="G238" s="71">
        <f t="shared" si="13"/>
        <v>0.59</v>
      </c>
    </row>
    <row r="239" spans="1:7" ht="15.75">
      <c r="A239" s="67"/>
      <c r="B239" s="113" t="s">
        <v>415</v>
      </c>
      <c r="C239" s="69" t="s">
        <v>416</v>
      </c>
      <c r="D239" s="68" t="s">
        <v>128</v>
      </c>
      <c r="E239" s="70">
        <v>0.3</v>
      </c>
      <c r="F239" s="114">
        <f>TRUNC(151.7395,2)</f>
        <v>151.73</v>
      </c>
      <c r="G239" s="71">
        <f t="shared" si="13"/>
        <v>45.51</v>
      </c>
    </row>
    <row r="240" spans="1:7" ht="15.75">
      <c r="A240" s="67"/>
      <c r="B240" s="113" t="s">
        <v>278</v>
      </c>
      <c r="C240" s="69" t="s">
        <v>279</v>
      </c>
      <c r="D240" s="68" t="s">
        <v>128</v>
      </c>
      <c r="E240" s="70">
        <v>0.02</v>
      </c>
      <c r="F240" s="114">
        <f>TRUNC(153.758,2)</f>
        <v>153.75</v>
      </c>
      <c r="G240" s="71">
        <f t="shared" si="13"/>
        <v>3.07</v>
      </c>
    </row>
    <row r="241" spans="1:7" ht="15.75">
      <c r="A241" s="67"/>
      <c r="B241" s="113" t="s">
        <v>610</v>
      </c>
      <c r="C241" s="69" t="s">
        <v>611</v>
      </c>
      <c r="D241" s="68" t="s">
        <v>128</v>
      </c>
      <c r="E241" s="70">
        <v>0.002</v>
      </c>
      <c r="F241" s="114">
        <f>TRUNC(93.754,2)</f>
        <v>93.75</v>
      </c>
      <c r="G241" s="71">
        <f t="shared" si="13"/>
        <v>0.18</v>
      </c>
    </row>
    <row r="242" spans="1:7" ht="15.75">
      <c r="A242" s="67"/>
      <c r="B242" s="113" t="s">
        <v>612</v>
      </c>
      <c r="C242" s="69" t="s">
        <v>613</v>
      </c>
      <c r="D242" s="68" t="s">
        <v>128</v>
      </c>
      <c r="E242" s="70">
        <v>0.018</v>
      </c>
      <c r="F242" s="114">
        <f>TRUNC(255.2934,2)</f>
        <v>255.29</v>
      </c>
      <c r="G242" s="71">
        <f t="shared" si="13"/>
        <v>4.59</v>
      </c>
    </row>
    <row r="243" spans="1:7" ht="15.75">
      <c r="A243" s="115"/>
      <c r="B243" s="250"/>
      <c r="C243" s="116"/>
      <c r="D243" s="117"/>
      <c r="E243" s="118" t="s">
        <v>3</v>
      </c>
      <c r="F243" s="251"/>
      <c r="G243" s="104">
        <f>SUM(G237:G242)</f>
        <v>107.14000000000001</v>
      </c>
    </row>
    <row r="244" spans="1:7" ht="45">
      <c r="A244" s="21" t="s">
        <v>58</v>
      </c>
      <c r="B244" s="75" t="s">
        <v>615</v>
      </c>
      <c r="C244" s="15" t="s">
        <v>617</v>
      </c>
      <c r="D244" s="45" t="s">
        <v>1</v>
      </c>
      <c r="E244" s="46"/>
      <c r="F244" s="120">
        <f>TRUNC(F245,2)</f>
        <v>53.94</v>
      </c>
      <c r="G244" s="63">
        <f>TRUNC((E244*F244),2)</f>
        <v>0</v>
      </c>
    </row>
    <row r="245" spans="1:7" ht="60">
      <c r="A245" s="64"/>
      <c r="B245" s="18" t="s">
        <v>608</v>
      </c>
      <c r="C245" s="16" t="s">
        <v>609</v>
      </c>
      <c r="D245" s="47" t="s">
        <v>1</v>
      </c>
      <c r="E245" s="65">
        <v>1</v>
      </c>
      <c r="F245" s="112">
        <f>G253</f>
        <v>53.94</v>
      </c>
      <c r="G245" s="66">
        <f>TRUNC(E245*F245,2)</f>
        <v>53.94</v>
      </c>
    </row>
    <row r="246" spans="1:7" s="19" customFormat="1" ht="15.75">
      <c r="A246" s="252"/>
      <c r="B246" s="206" t="s">
        <v>572</v>
      </c>
      <c r="C246" s="253" t="s">
        <v>573</v>
      </c>
      <c r="D246" s="254" t="s">
        <v>1</v>
      </c>
      <c r="E246" s="255">
        <v>1</v>
      </c>
      <c r="F246" s="256">
        <v>10.44</v>
      </c>
      <c r="G246" s="134">
        <f>TRUNC(E246*F246,2)</f>
        <v>10.44</v>
      </c>
    </row>
    <row r="248" spans="1:7" ht="15.75">
      <c r="A248" s="67"/>
      <c r="B248" s="113" t="s">
        <v>209</v>
      </c>
      <c r="C248" s="69" t="s">
        <v>210</v>
      </c>
      <c r="D248" s="68" t="s">
        <v>128</v>
      </c>
      <c r="E248" s="70">
        <v>0.0412</v>
      </c>
      <c r="F248" s="114">
        <f>TRUNC(14.47,2)</f>
        <v>14.47</v>
      </c>
      <c r="G248" s="71">
        <f>TRUNC(E248*F248,2)</f>
        <v>0.59</v>
      </c>
    </row>
    <row r="249" spans="1:7" ht="15.75">
      <c r="A249" s="67"/>
      <c r="B249" s="113" t="s">
        <v>415</v>
      </c>
      <c r="C249" s="69" t="s">
        <v>416</v>
      </c>
      <c r="D249" s="68" t="s">
        <v>128</v>
      </c>
      <c r="E249" s="70">
        <v>0.3</v>
      </c>
      <c r="F249" s="114">
        <f>TRUNC(151.7395,2)</f>
        <v>151.73</v>
      </c>
      <c r="G249" s="71">
        <f>TRUNC(E249*F249,2)</f>
        <v>45.51</v>
      </c>
    </row>
    <row r="250" spans="1:7" ht="15.75">
      <c r="A250" s="67"/>
      <c r="B250" s="113" t="s">
        <v>278</v>
      </c>
      <c r="C250" s="69" t="s">
        <v>279</v>
      </c>
      <c r="D250" s="68" t="s">
        <v>128</v>
      </c>
      <c r="E250" s="70">
        <v>0.02</v>
      </c>
      <c r="F250" s="114">
        <f>TRUNC(153.758,2)</f>
        <v>153.75</v>
      </c>
      <c r="G250" s="71">
        <f>TRUNC(E250*F250,2)</f>
        <v>3.07</v>
      </c>
    </row>
    <row r="251" spans="1:7" ht="15.75">
      <c r="A251" s="67"/>
      <c r="B251" s="113" t="s">
        <v>610</v>
      </c>
      <c r="C251" s="69" t="s">
        <v>611</v>
      </c>
      <c r="D251" s="68" t="s">
        <v>128</v>
      </c>
      <c r="E251" s="70">
        <v>0.002</v>
      </c>
      <c r="F251" s="114">
        <f>TRUNC(93.754,2)</f>
        <v>93.75</v>
      </c>
      <c r="G251" s="71">
        <f>TRUNC(E251*F251,2)</f>
        <v>0.18</v>
      </c>
    </row>
    <row r="252" spans="1:7" ht="15.75">
      <c r="A252" s="67"/>
      <c r="B252" s="113" t="s">
        <v>612</v>
      </c>
      <c r="C252" s="69" t="s">
        <v>613</v>
      </c>
      <c r="D252" s="68" t="s">
        <v>128</v>
      </c>
      <c r="E252" s="70">
        <v>0.018</v>
      </c>
      <c r="F252" s="114">
        <f>TRUNC(255.2934,2)</f>
        <v>255.29</v>
      </c>
      <c r="G252" s="71">
        <f>TRUNC(E252*F252,2)</f>
        <v>4.59</v>
      </c>
    </row>
    <row r="253" spans="1:7" ht="15.75">
      <c r="A253" s="115"/>
      <c r="B253" s="250"/>
      <c r="C253" s="116"/>
      <c r="D253" s="117"/>
      <c r="E253" s="118" t="s">
        <v>3</v>
      </c>
      <c r="F253" s="251"/>
      <c r="G253" s="104">
        <f>TRUNC(SUM(G248:G252),2)</f>
        <v>53.94</v>
      </c>
    </row>
    <row r="254" spans="1:7" ht="45">
      <c r="A254" s="30" t="s">
        <v>60</v>
      </c>
      <c r="B254" s="26" t="s">
        <v>874</v>
      </c>
      <c r="C254" s="27" t="s">
        <v>875</v>
      </c>
      <c r="D254" s="49" t="s">
        <v>2</v>
      </c>
      <c r="E254" s="105"/>
      <c r="F254" s="124">
        <f>TRUNC(F255,2)</f>
        <v>94.51</v>
      </c>
      <c r="G254" s="106">
        <f>TRUNC((E254*F254),2)</f>
        <v>0</v>
      </c>
    </row>
    <row r="255" spans="1:7" ht="45">
      <c r="A255" s="64"/>
      <c r="B255" s="18" t="s">
        <v>874</v>
      </c>
      <c r="C255" s="16" t="s">
        <v>875</v>
      </c>
      <c r="D255" s="47" t="s">
        <v>2</v>
      </c>
      <c r="E255" s="65">
        <v>1</v>
      </c>
      <c r="F255" s="112">
        <f>G262</f>
        <v>94.51</v>
      </c>
      <c r="G255" s="66">
        <f aca="true" t="shared" si="14" ref="G255:G261">TRUNC(E255*F255,2)</f>
        <v>94.51</v>
      </c>
    </row>
    <row r="256" spans="1:7" ht="30">
      <c r="A256" s="67"/>
      <c r="B256" s="113" t="s">
        <v>876</v>
      </c>
      <c r="C256" s="69" t="s">
        <v>877</v>
      </c>
      <c r="D256" s="68" t="s">
        <v>2</v>
      </c>
      <c r="E256" s="70">
        <v>1.03</v>
      </c>
      <c r="F256" s="114">
        <f>TRUNC(53.63,2)</f>
        <v>53.63</v>
      </c>
      <c r="G256" s="71">
        <f t="shared" si="14"/>
        <v>55.23</v>
      </c>
    </row>
    <row r="257" spans="1:7" ht="15.75">
      <c r="A257" s="67"/>
      <c r="B257" s="113" t="s">
        <v>243</v>
      </c>
      <c r="C257" s="69" t="s">
        <v>178</v>
      </c>
      <c r="D257" s="68" t="s">
        <v>128</v>
      </c>
      <c r="E257" s="70">
        <v>0.654</v>
      </c>
      <c r="F257" s="114">
        <f>TRUNC(20.74,2)</f>
        <v>20.74</v>
      </c>
      <c r="G257" s="71">
        <f t="shared" si="14"/>
        <v>13.56</v>
      </c>
    </row>
    <row r="258" spans="1:7" ht="15.75">
      <c r="A258" s="67"/>
      <c r="B258" s="113" t="s">
        <v>878</v>
      </c>
      <c r="C258" s="69" t="s">
        <v>879</v>
      </c>
      <c r="D258" s="68" t="s">
        <v>128</v>
      </c>
      <c r="E258" s="70">
        <v>0.327</v>
      </c>
      <c r="F258" s="114">
        <f>TRUNC(23.95,2)</f>
        <v>23.95</v>
      </c>
      <c r="G258" s="71">
        <f t="shared" si="14"/>
        <v>7.83</v>
      </c>
    </row>
    <row r="259" spans="1:7" ht="30">
      <c r="A259" s="67"/>
      <c r="B259" s="113" t="s">
        <v>252</v>
      </c>
      <c r="C259" s="69" t="s">
        <v>253</v>
      </c>
      <c r="D259" s="68" t="s">
        <v>1</v>
      </c>
      <c r="E259" s="70">
        <v>0.001</v>
      </c>
      <c r="F259" s="114">
        <f>TRUNC(419.31,2)</f>
        <v>419.31</v>
      </c>
      <c r="G259" s="71">
        <f t="shared" si="14"/>
        <v>0.41</v>
      </c>
    </row>
    <row r="260" spans="1:7" ht="30">
      <c r="A260" s="67"/>
      <c r="B260" s="113" t="s">
        <v>868</v>
      </c>
      <c r="C260" s="69" t="s">
        <v>869</v>
      </c>
      <c r="D260" s="68" t="s">
        <v>132</v>
      </c>
      <c r="E260" s="70">
        <v>0.146</v>
      </c>
      <c r="F260" s="114">
        <f>TRUNC(55.69,2)</f>
        <v>55.69</v>
      </c>
      <c r="G260" s="71">
        <f t="shared" si="14"/>
        <v>8.13</v>
      </c>
    </row>
    <row r="261" spans="1:7" ht="30">
      <c r="A261" s="67"/>
      <c r="B261" s="113" t="s">
        <v>870</v>
      </c>
      <c r="C261" s="69" t="s">
        <v>871</v>
      </c>
      <c r="D261" s="68" t="s">
        <v>133</v>
      </c>
      <c r="E261" s="70">
        <v>0.069</v>
      </c>
      <c r="F261" s="114">
        <f>TRUNC(135.62,2)</f>
        <v>135.62</v>
      </c>
      <c r="G261" s="71">
        <f t="shared" si="14"/>
        <v>9.35</v>
      </c>
    </row>
    <row r="262" spans="1:7" ht="15.75">
      <c r="A262" s="67"/>
      <c r="B262" s="113"/>
      <c r="C262" s="69"/>
      <c r="D262" s="68"/>
      <c r="E262" s="70" t="s">
        <v>3</v>
      </c>
      <c r="F262" s="114"/>
      <c r="G262" s="71">
        <f>TRUNC(SUM(G256:G261),2)</f>
        <v>94.51</v>
      </c>
    </row>
    <row r="263" spans="1:7" ht="45">
      <c r="A263" s="29" t="s">
        <v>64</v>
      </c>
      <c r="B263" s="31" t="s">
        <v>880</v>
      </c>
      <c r="C263" s="14" t="s">
        <v>881</v>
      </c>
      <c r="D263" s="48" t="s">
        <v>2</v>
      </c>
      <c r="E263" s="107"/>
      <c r="F263" s="100">
        <f>TRUNC(F264,2)</f>
        <v>109.59</v>
      </c>
      <c r="G263" s="73">
        <f>TRUNC((E263*F263),2)</f>
        <v>0</v>
      </c>
    </row>
    <row r="264" spans="1:7" ht="45">
      <c r="A264" s="67"/>
      <c r="B264" s="18" t="s">
        <v>880</v>
      </c>
      <c r="C264" s="69" t="s">
        <v>881</v>
      </c>
      <c r="D264" s="68" t="s">
        <v>2</v>
      </c>
      <c r="E264" s="68">
        <v>1</v>
      </c>
      <c r="F264" s="70">
        <f>G271</f>
        <v>109.59</v>
      </c>
      <c r="G264" s="71">
        <f aca="true" t="shared" si="15" ref="G264:G270">TRUNC(E264*F264,2)</f>
        <v>109.59</v>
      </c>
    </row>
    <row r="265" spans="1:7" ht="30">
      <c r="A265" s="67"/>
      <c r="B265" s="113" t="s">
        <v>882</v>
      </c>
      <c r="C265" s="69" t="s">
        <v>883</v>
      </c>
      <c r="D265" s="68" t="s">
        <v>2</v>
      </c>
      <c r="E265" s="68">
        <v>1.03</v>
      </c>
      <c r="F265" s="70">
        <f>TRUNC(56.67,2)</f>
        <v>56.67</v>
      </c>
      <c r="G265" s="71">
        <f t="shared" si="15"/>
        <v>58.37</v>
      </c>
    </row>
    <row r="266" spans="1:7" ht="15.75">
      <c r="A266" s="67"/>
      <c r="B266" s="113" t="s">
        <v>243</v>
      </c>
      <c r="C266" s="69" t="s">
        <v>178</v>
      </c>
      <c r="D266" s="68" t="s">
        <v>128</v>
      </c>
      <c r="E266" s="68">
        <v>0.831</v>
      </c>
      <c r="F266" s="70">
        <f>TRUNC(20.74,2)</f>
        <v>20.74</v>
      </c>
      <c r="G266" s="71">
        <f t="shared" si="15"/>
        <v>17.23</v>
      </c>
    </row>
    <row r="267" spans="1:7" ht="15.75">
      <c r="A267" s="67"/>
      <c r="B267" s="113" t="s">
        <v>884</v>
      </c>
      <c r="C267" s="69" t="s">
        <v>885</v>
      </c>
      <c r="D267" s="68" t="s">
        <v>128</v>
      </c>
      <c r="E267" s="68">
        <v>0.415</v>
      </c>
      <c r="F267" s="70">
        <f>TRUNC(26.24,2)</f>
        <v>26.24</v>
      </c>
      <c r="G267" s="71">
        <f t="shared" si="15"/>
        <v>10.88</v>
      </c>
    </row>
    <row r="268" spans="1:7" ht="30">
      <c r="A268" s="67"/>
      <c r="B268" s="113" t="s">
        <v>252</v>
      </c>
      <c r="C268" s="69" t="s">
        <v>253</v>
      </c>
      <c r="D268" s="68" t="s">
        <v>1</v>
      </c>
      <c r="E268" s="68">
        <v>0.002</v>
      </c>
      <c r="F268" s="70">
        <f>TRUNC(419.31,2)</f>
        <v>419.31</v>
      </c>
      <c r="G268" s="71">
        <f t="shared" si="15"/>
        <v>0.83</v>
      </c>
    </row>
    <row r="269" spans="1:7" ht="30">
      <c r="A269" s="67"/>
      <c r="B269" s="113" t="s">
        <v>868</v>
      </c>
      <c r="C269" s="69" t="s">
        <v>869</v>
      </c>
      <c r="D269" s="68" t="s">
        <v>132</v>
      </c>
      <c r="E269" s="68">
        <v>0.186</v>
      </c>
      <c r="F269" s="70">
        <f>TRUNC(55.69,2)</f>
        <v>55.69</v>
      </c>
      <c r="G269" s="71">
        <f t="shared" si="15"/>
        <v>10.35</v>
      </c>
    </row>
    <row r="270" spans="1:7" ht="30">
      <c r="A270" s="67"/>
      <c r="B270" s="113" t="s">
        <v>870</v>
      </c>
      <c r="C270" s="69" t="s">
        <v>871</v>
      </c>
      <c r="D270" s="68" t="s">
        <v>133</v>
      </c>
      <c r="E270" s="68">
        <v>0.088</v>
      </c>
      <c r="F270" s="70">
        <f>TRUNC(135.62,2)</f>
        <v>135.62</v>
      </c>
      <c r="G270" s="71">
        <f t="shared" si="15"/>
        <v>11.93</v>
      </c>
    </row>
    <row r="271" spans="1:7" ht="15.75">
      <c r="A271" s="67"/>
      <c r="B271" s="113"/>
      <c r="C271" s="69"/>
      <c r="D271" s="68"/>
      <c r="E271" s="68" t="s">
        <v>3</v>
      </c>
      <c r="F271" s="70"/>
      <c r="G271" s="71">
        <f>TRUNC(SUM(G265:G270),2)</f>
        <v>109.59</v>
      </c>
    </row>
    <row r="272" spans="1:8" s="181" customFormat="1" ht="45">
      <c r="A272" s="31" t="s">
        <v>71</v>
      </c>
      <c r="B272" s="86" t="s">
        <v>886</v>
      </c>
      <c r="C272" s="87" t="s">
        <v>889</v>
      </c>
      <c r="D272" s="86" t="s">
        <v>2</v>
      </c>
      <c r="E272" s="99"/>
      <c r="F272" s="100">
        <f>TRUNC(F273,2)</f>
        <v>176.02</v>
      </c>
      <c r="G272" s="73">
        <f>TRUNC((E272*F272),2)</f>
        <v>0</v>
      </c>
      <c r="H272" s="183"/>
    </row>
    <row r="273" spans="1:7" s="20" customFormat="1" ht="45">
      <c r="A273" s="78"/>
      <c r="B273" s="18" t="s">
        <v>886</v>
      </c>
      <c r="C273" s="80" t="s">
        <v>889</v>
      </c>
      <c r="D273" s="79" t="s">
        <v>2</v>
      </c>
      <c r="E273" s="81">
        <v>1</v>
      </c>
      <c r="F273" s="81">
        <f>G280</f>
        <v>176.02</v>
      </c>
      <c r="G273" s="66">
        <f aca="true" t="shared" si="16" ref="G273:G279">TRUNC(E273*F273,2)</f>
        <v>176.02</v>
      </c>
    </row>
    <row r="274" spans="1:7" s="20" customFormat="1" ht="30">
      <c r="A274" s="82"/>
      <c r="B274" s="113" t="s">
        <v>890</v>
      </c>
      <c r="C274" s="84" t="s">
        <v>891</v>
      </c>
      <c r="D274" s="83" t="s">
        <v>2</v>
      </c>
      <c r="E274" s="85">
        <v>1.03</v>
      </c>
      <c r="F274" s="85">
        <f>TRUNC(99,2)</f>
        <v>99</v>
      </c>
      <c r="G274" s="71">
        <f t="shared" si="16"/>
        <v>101.97</v>
      </c>
    </row>
    <row r="275" spans="1:7" s="20" customFormat="1" ht="15.75">
      <c r="A275" s="82"/>
      <c r="B275" s="113" t="s">
        <v>243</v>
      </c>
      <c r="C275" s="84" t="s">
        <v>178</v>
      </c>
      <c r="D275" s="83" t="s">
        <v>128</v>
      </c>
      <c r="E275" s="85">
        <v>1.185</v>
      </c>
      <c r="F275" s="85">
        <f>TRUNC(20.74,2)</f>
        <v>20.74</v>
      </c>
      <c r="G275" s="71">
        <f t="shared" si="16"/>
        <v>24.57</v>
      </c>
    </row>
    <row r="276" spans="1:7" s="20" customFormat="1" ht="15.75">
      <c r="A276" s="82"/>
      <c r="B276" s="113" t="s">
        <v>884</v>
      </c>
      <c r="C276" s="84" t="s">
        <v>885</v>
      </c>
      <c r="D276" s="83" t="s">
        <v>128</v>
      </c>
      <c r="E276" s="85">
        <v>0.593</v>
      </c>
      <c r="F276" s="85">
        <f>TRUNC(26.24,2)</f>
        <v>26.24</v>
      </c>
      <c r="G276" s="71">
        <f t="shared" si="16"/>
        <v>15.56</v>
      </c>
    </row>
    <row r="277" spans="1:7" s="20" customFormat="1" ht="30">
      <c r="A277" s="82"/>
      <c r="B277" s="113" t="s">
        <v>252</v>
      </c>
      <c r="C277" s="84" t="s">
        <v>253</v>
      </c>
      <c r="D277" s="83" t="s">
        <v>1</v>
      </c>
      <c r="E277" s="85">
        <v>0.005</v>
      </c>
      <c r="F277" s="85">
        <f>TRUNC(419.31,2)</f>
        <v>419.31</v>
      </c>
      <c r="G277" s="71">
        <f t="shared" si="16"/>
        <v>2.09</v>
      </c>
    </row>
    <row r="278" spans="1:7" s="20" customFormat="1" ht="30">
      <c r="A278" s="82"/>
      <c r="B278" s="113" t="s">
        <v>868</v>
      </c>
      <c r="C278" s="84" t="s">
        <v>869</v>
      </c>
      <c r="D278" s="83" t="s">
        <v>132</v>
      </c>
      <c r="E278" s="85">
        <v>0.265</v>
      </c>
      <c r="F278" s="85">
        <f>TRUNC(55.69,2)</f>
        <v>55.69</v>
      </c>
      <c r="G278" s="71">
        <f t="shared" si="16"/>
        <v>14.75</v>
      </c>
    </row>
    <row r="279" spans="1:7" s="20" customFormat="1" ht="30">
      <c r="A279" s="82"/>
      <c r="B279" s="113" t="s">
        <v>870</v>
      </c>
      <c r="C279" s="84" t="s">
        <v>871</v>
      </c>
      <c r="D279" s="83" t="s">
        <v>133</v>
      </c>
      <c r="E279" s="85">
        <v>0.126</v>
      </c>
      <c r="F279" s="85">
        <f>TRUNC(135.62,2)</f>
        <v>135.62</v>
      </c>
      <c r="G279" s="71">
        <f t="shared" si="16"/>
        <v>17.08</v>
      </c>
    </row>
    <row r="280" spans="1:7" s="20" customFormat="1" ht="15.75">
      <c r="A280" s="82"/>
      <c r="B280" s="113"/>
      <c r="C280" s="84"/>
      <c r="D280" s="83"/>
      <c r="E280" s="85" t="s">
        <v>3</v>
      </c>
      <c r="F280" s="85"/>
      <c r="G280" s="71">
        <f>TRUNC(SUM(G274:G279),2)</f>
        <v>176.02</v>
      </c>
    </row>
    <row r="281" spans="1:7" s="20" customFormat="1" ht="45">
      <c r="A281" s="75" t="s">
        <v>72</v>
      </c>
      <c r="B281" s="76" t="s">
        <v>887</v>
      </c>
      <c r="C281" s="77" t="s">
        <v>892</v>
      </c>
      <c r="D281" s="76" t="s">
        <v>2</v>
      </c>
      <c r="E281" s="119"/>
      <c r="F281" s="120">
        <f>TRUNC(F282,2)</f>
        <v>349.48</v>
      </c>
      <c r="G281" s="63">
        <f>TRUNC((E281*F281),2)</f>
        <v>0</v>
      </c>
    </row>
    <row r="282" spans="1:7" s="20" customFormat="1" ht="45">
      <c r="A282" s="78"/>
      <c r="B282" s="18" t="s">
        <v>887</v>
      </c>
      <c r="C282" s="80" t="s">
        <v>892</v>
      </c>
      <c r="D282" s="79" t="s">
        <v>2</v>
      </c>
      <c r="E282" s="79">
        <v>1</v>
      </c>
      <c r="F282" s="81">
        <f>G289</f>
        <v>349.48</v>
      </c>
      <c r="G282" s="66">
        <f aca="true" t="shared" si="17" ref="G282:G288">TRUNC(E282*F282,2)</f>
        <v>349.48</v>
      </c>
    </row>
    <row r="283" spans="1:7" s="20" customFormat="1" ht="30">
      <c r="A283" s="82"/>
      <c r="B283" s="113" t="s">
        <v>893</v>
      </c>
      <c r="C283" s="84" t="s">
        <v>894</v>
      </c>
      <c r="D283" s="83" t="s">
        <v>2</v>
      </c>
      <c r="E283" s="83">
        <v>1.03</v>
      </c>
      <c r="F283" s="85">
        <f>TRUNC(216.3,2)</f>
        <v>216.3</v>
      </c>
      <c r="G283" s="71">
        <f t="shared" si="17"/>
        <v>222.78</v>
      </c>
    </row>
    <row r="284" spans="1:7" s="20" customFormat="1" ht="15.75">
      <c r="A284" s="82"/>
      <c r="B284" s="113" t="s">
        <v>243</v>
      </c>
      <c r="C284" s="84" t="s">
        <v>178</v>
      </c>
      <c r="D284" s="83" t="s">
        <v>128</v>
      </c>
      <c r="E284" s="83">
        <v>1.893</v>
      </c>
      <c r="F284" s="85">
        <f>TRUNC(20.74,2)</f>
        <v>20.74</v>
      </c>
      <c r="G284" s="71">
        <f t="shared" si="17"/>
        <v>39.26</v>
      </c>
    </row>
    <row r="285" spans="1:7" s="20" customFormat="1" ht="15.75">
      <c r="A285" s="82"/>
      <c r="B285" s="113" t="s">
        <v>884</v>
      </c>
      <c r="C285" s="84" t="s">
        <v>885</v>
      </c>
      <c r="D285" s="83" t="s">
        <v>128</v>
      </c>
      <c r="E285" s="83">
        <v>0.947</v>
      </c>
      <c r="F285" s="85">
        <f>TRUNC(26.24,2)</f>
        <v>26.24</v>
      </c>
      <c r="G285" s="71">
        <f t="shared" si="17"/>
        <v>24.84</v>
      </c>
    </row>
    <row r="286" spans="1:7" s="20" customFormat="1" ht="30">
      <c r="A286" s="82"/>
      <c r="B286" s="113" t="s">
        <v>252</v>
      </c>
      <c r="C286" s="84" t="s">
        <v>253</v>
      </c>
      <c r="D286" s="83" t="s">
        <v>1</v>
      </c>
      <c r="E286" s="83">
        <v>0.028</v>
      </c>
      <c r="F286" s="85">
        <f>TRUNC(419.31,2)</f>
        <v>419.31</v>
      </c>
      <c r="G286" s="71">
        <f t="shared" si="17"/>
        <v>11.74</v>
      </c>
    </row>
    <row r="287" spans="1:7" s="20" customFormat="1" ht="30">
      <c r="A287" s="82"/>
      <c r="B287" s="113" t="s">
        <v>868</v>
      </c>
      <c r="C287" s="84" t="s">
        <v>869</v>
      </c>
      <c r="D287" s="83" t="s">
        <v>132</v>
      </c>
      <c r="E287" s="83">
        <v>0.424</v>
      </c>
      <c r="F287" s="85">
        <f>TRUNC(55.69,2)</f>
        <v>55.69</v>
      </c>
      <c r="G287" s="71">
        <f t="shared" si="17"/>
        <v>23.61</v>
      </c>
    </row>
    <row r="288" spans="1:7" s="20" customFormat="1" ht="30">
      <c r="A288" s="82"/>
      <c r="B288" s="113" t="s">
        <v>870</v>
      </c>
      <c r="C288" s="84" t="s">
        <v>871</v>
      </c>
      <c r="D288" s="83" t="s">
        <v>133</v>
      </c>
      <c r="E288" s="83">
        <v>0.201</v>
      </c>
      <c r="F288" s="85">
        <f>TRUNC(135.62,2)</f>
        <v>135.62</v>
      </c>
      <c r="G288" s="71">
        <f t="shared" si="17"/>
        <v>27.25</v>
      </c>
    </row>
    <row r="289" spans="1:7" s="20" customFormat="1" ht="15.75">
      <c r="A289" s="82"/>
      <c r="B289" s="113"/>
      <c r="C289" s="84"/>
      <c r="D289" s="83"/>
      <c r="E289" s="83" t="s">
        <v>3</v>
      </c>
      <c r="F289" s="85"/>
      <c r="G289" s="71">
        <f>TRUNC(SUM(G283:G288),2)</f>
        <v>349.48</v>
      </c>
    </row>
    <row r="290" spans="1:7" s="20" customFormat="1" ht="45">
      <c r="A290" s="26" t="s">
        <v>73</v>
      </c>
      <c r="B290" s="121" t="s">
        <v>888</v>
      </c>
      <c r="C290" s="122" t="s">
        <v>895</v>
      </c>
      <c r="D290" s="121" t="s">
        <v>2</v>
      </c>
      <c r="E290" s="123"/>
      <c r="F290" s="124">
        <f>TRUNC(F291,2)</f>
        <v>472.9</v>
      </c>
      <c r="G290" s="106">
        <f>TRUNC((E290*F290),2)</f>
        <v>0</v>
      </c>
    </row>
    <row r="291" spans="1:7" s="20" customFormat="1" ht="45">
      <c r="A291" s="78"/>
      <c r="B291" s="18" t="s">
        <v>888</v>
      </c>
      <c r="C291" s="80" t="s">
        <v>895</v>
      </c>
      <c r="D291" s="79" t="s">
        <v>2</v>
      </c>
      <c r="E291" s="79">
        <v>1</v>
      </c>
      <c r="F291" s="81">
        <f>G298</f>
        <v>472.9</v>
      </c>
      <c r="G291" s="66">
        <f aca="true" t="shared" si="18" ref="G291:G297">TRUNC(E291*F291,2)</f>
        <v>472.9</v>
      </c>
    </row>
    <row r="292" spans="1:7" s="20" customFormat="1" ht="30">
      <c r="A292" s="82"/>
      <c r="B292" s="113" t="s">
        <v>896</v>
      </c>
      <c r="C292" s="84" t="s">
        <v>897</v>
      </c>
      <c r="D292" s="83" t="s">
        <v>2</v>
      </c>
      <c r="E292" s="83">
        <v>1.03</v>
      </c>
      <c r="F292" s="85">
        <f>TRUNC(306.53,2)</f>
        <v>306.53</v>
      </c>
      <c r="G292" s="71">
        <f t="shared" si="18"/>
        <v>315.72</v>
      </c>
    </row>
    <row r="293" spans="1:7" s="20" customFormat="1" ht="15.75">
      <c r="A293" s="82"/>
      <c r="B293" s="113" t="s">
        <v>243</v>
      </c>
      <c r="C293" s="84" t="s">
        <v>178</v>
      </c>
      <c r="D293" s="83" t="s">
        <v>128</v>
      </c>
      <c r="E293" s="83">
        <v>2.3484</v>
      </c>
      <c r="F293" s="85">
        <f>TRUNC(20.74,2)</f>
        <v>20.74</v>
      </c>
      <c r="G293" s="71">
        <f t="shared" si="18"/>
        <v>48.7</v>
      </c>
    </row>
    <row r="294" spans="1:7" s="20" customFormat="1" ht="15.75">
      <c r="A294" s="82"/>
      <c r="B294" s="113" t="s">
        <v>884</v>
      </c>
      <c r="C294" s="84" t="s">
        <v>885</v>
      </c>
      <c r="D294" s="83" t="s">
        <v>128</v>
      </c>
      <c r="E294" s="83">
        <v>1.1748</v>
      </c>
      <c r="F294" s="85">
        <f>TRUNC(26.24,2)</f>
        <v>26.24</v>
      </c>
      <c r="G294" s="71">
        <f t="shared" si="18"/>
        <v>30.82</v>
      </c>
    </row>
    <row r="295" spans="1:7" s="20" customFormat="1" ht="30">
      <c r="A295" s="82"/>
      <c r="B295" s="113" t="s">
        <v>252</v>
      </c>
      <c r="C295" s="84" t="s">
        <v>253</v>
      </c>
      <c r="D295" s="83" t="s">
        <v>1</v>
      </c>
      <c r="E295" s="83">
        <v>0.0347</v>
      </c>
      <c r="F295" s="85">
        <f>TRUNC(419.31,2)</f>
        <v>419.31</v>
      </c>
      <c r="G295" s="71">
        <f t="shared" si="18"/>
        <v>14.55</v>
      </c>
    </row>
    <row r="296" spans="1:7" s="20" customFormat="1" ht="30">
      <c r="A296" s="82"/>
      <c r="B296" s="113" t="s">
        <v>868</v>
      </c>
      <c r="C296" s="84" t="s">
        <v>869</v>
      </c>
      <c r="D296" s="83" t="s">
        <v>132</v>
      </c>
      <c r="E296" s="83">
        <v>0.526</v>
      </c>
      <c r="F296" s="85">
        <f>TRUNC(55.69,2)</f>
        <v>55.69</v>
      </c>
      <c r="G296" s="71">
        <f t="shared" si="18"/>
        <v>29.29</v>
      </c>
    </row>
    <row r="297" spans="1:7" s="20" customFormat="1" ht="30">
      <c r="A297" s="82"/>
      <c r="B297" s="113" t="s">
        <v>870</v>
      </c>
      <c r="C297" s="84" t="s">
        <v>871</v>
      </c>
      <c r="D297" s="83" t="s">
        <v>133</v>
      </c>
      <c r="E297" s="83">
        <v>0.2494</v>
      </c>
      <c r="F297" s="85">
        <f>TRUNC(135.62,2)</f>
        <v>135.62</v>
      </c>
      <c r="G297" s="71">
        <f t="shared" si="18"/>
        <v>33.82</v>
      </c>
    </row>
    <row r="298" spans="1:7" s="20" customFormat="1" ht="15.75">
      <c r="A298" s="82"/>
      <c r="B298" s="113"/>
      <c r="C298" s="84"/>
      <c r="D298" s="83"/>
      <c r="E298" s="83" t="s">
        <v>3</v>
      </c>
      <c r="F298" s="85"/>
      <c r="G298" s="71">
        <f>TRUNC(SUM(G292:G297),2)</f>
        <v>472.9</v>
      </c>
    </row>
    <row r="299" spans="1:8" s="181" customFormat="1" ht="90">
      <c r="A299" s="24" t="s">
        <v>74</v>
      </c>
      <c r="B299" s="108" t="s">
        <v>597</v>
      </c>
      <c r="C299" s="109" t="s">
        <v>599</v>
      </c>
      <c r="D299" s="108" t="s">
        <v>9</v>
      </c>
      <c r="E299" s="108"/>
      <c r="F299" s="108">
        <f>TRUNC(F300,2)</f>
        <v>1674.22</v>
      </c>
      <c r="G299" s="111">
        <f>TRUNC((E299*F299),2)</f>
        <v>0</v>
      </c>
      <c r="H299" s="182"/>
    </row>
    <row r="300" spans="1:8" s="181" customFormat="1" ht="90">
      <c r="A300" s="233"/>
      <c r="B300" s="234" t="s">
        <v>597</v>
      </c>
      <c r="C300" s="235" t="s">
        <v>598</v>
      </c>
      <c r="D300" s="234" t="s">
        <v>9</v>
      </c>
      <c r="E300" s="234">
        <v>1</v>
      </c>
      <c r="F300" s="245">
        <f>G314</f>
        <v>1674.22</v>
      </c>
      <c r="G300" s="236">
        <f aca="true" t="shared" si="19" ref="G300:G313">TRUNC(E300*F300,2)</f>
        <v>1674.22</v>
      </c>
      <c r="H300" s="182"/>
    </row>
    <row r="301" spans="1:8" s="181" customFormat="1" ht="26.25">
      <c r="A301" s="237"/>
      <c r="B301" s="238" t="s">
        <v>139</v>
      </c>
      <c r="C301" s="239" t="s">
        <v>307</v>
      </c>
      <c r="D301" s="238" t="s">
        <v>9</v>
      </c>
      <c r="E301" s="238">
        <v>1</v>
      </c>
      <c r="F301" s="238">
        <f>TRUNC(42,2)</f>
        <v>42</v>
      </c>
      <c r="G301" s="240">
        <f t="shared" si="19"/>
        <v>42</v>
      </c>
      <c r="H301" s="182"/>
    </row>
    <row r="302" spans="1:8" s="181" customFormat="1" ht="26.25">
      <c r="A302" s="237"/>
      <c r="B302" s="238" t="s">
        <v>140</v>
      </c>
      <c r="C302" s="239" t="s">
        <v>308</v>
      </c>
      <c r="D302" s="238" t="s">
        <v>125</v>
      </c>
      <c r="E302" s="238">
        <v>14.34</v>
      </c>
      <c r="F302" s="238">
        <f>TRUNC(3.61,2)</f>
        <v>3.61</v>
      </c>
      <c r="G302" s="240">
        <f t="shared" si="19"/>
        <v>51.76</v>
      </c>
      <c r="H302" s="182"/>
    </row>
    <row r="303" spans="1:8" s="181" customFormat="1" ht="26.25">
      <c r="A303" s="237"/>
      <c r="B303" s="238" t="s">
        <v>141</v>
      </c>
      <c r="C303" s="239" t="s">
        <v>309</v>
      </c>
      <c r="D303" s="238" t="s">
        <v>125</v>
      </c>
      <c r="E303" s="238">
        <v>40.95</v>
      </c>
      <c r="F303" s="238">
        <f>TRUNC(3.56,2)</f>
        <v>3.56</v>
      </c>
      <c r="G303" s="240">
        <f t="shared" si="19"/>
        <v>145.78</v>
      </c>
      <c r="H303" s="182"/>
    </row>
    <row r="304" spans="1:8" s="181" customFormat="1" ht="26.25">
      <c r="A304" s="237"/>
      <c r="B304" s="238" t="s">
        <v>142</v>
      </c>
      <c r="C304" s="239" t="s">
        <v>310</v>
      </c>
      <c r="D304" s="238" t="s">
        <v>125</v>
      </c>
      <c r="E304" s="238">
        <v>1.66</v>
      </c>
      <c r="F304" s="238">
        <f>TRUNC(5.4325,2)</f>
        <v>5.43</v>
      </c>
      <c r="G304" s="240">
        <f t="shared" si="19"/>
        <v>9.01</v>
      </c>
      <c r="H304" s="182"/>
    </row>
    <row r="305" spans="1:8" s="181" customFormat="1" ht="26.25">
      <c r="A305" s="237"/>
      <c r="B305" s="238" t="s">
        <v>209</v>
      </c>
      <c r="C305" s="239" t="s">
        <v>210</v>
      </c>
      <c r="D305" s="238" t="s">
        <v>128</v>
      </c>
      <c r="E305" s="238">
        <v>6.4581</v>
      </c>
      <c r="F305" s="238">
        <f>TRUNC(14.47,2)</f>
        <v>14.47</v>
      </c>
      <c r="G305" s="240">
        <f t="shared" si="19"/>
        <v>93.44</v>
      </c>
      <c r="H305" s="182"/>
    </row>
    <row r="306" spans="1:8" s="181" customFormat="1" ht="26.25">
      <c r="A306" s="237"/>
      <c r="B306" s="238" t="s">
        <v>311</v>
      </c>
      <c r="C306" s="239" t="s">
        <v>312</v>
      </c>
      <c r="D306" s="238" t="s">
        <v>128</v>
      </c>
      <c r="E306" s="238">
        <v>1.1227</v>
      </c>
      <c r="F306" s="238">
        <f>TRUNC(19.97,2)</f>
        <v>19.97</v>
      </c>
      <c r="G306" s="240">
        <f t="shared" si="19"/>
        <v>22.42</v>
      </c>
      <c r="H306" s="182"/>
    </row>
    <row r="307" spans="1:8" s="181" customFormat="1" ht="26.25">
      <c r="A307" s="237"/>
      <c r="B307" s="238" t="s">
        <v>299</v>
      </c>
      <c r="C307" s="239" t="s">
        <v>300</v>
      </c>
      <c r="D307" s="238" t="s">
        <v>128</v>
      </c>
      <c r="E307" s="238">
        <v>6.4581</v>
      </c>
      <c r="F307" s="238">
        <f>TRUNC(19.97,2)</f>
        <v>19.97</v>
      </c>
      <c r="G307" s="240">
        <f t="shared" si="19"/>
        <v>128.96</v>
      </c>
      <c r="H307" s="182"/>
    </row>
    <row r="308" spans="1:8" s="181" customFormat="1" ht="26.25">
      <c r="A308" s="237"/>
      <c r="B308" s="238" t="s">
        <v>301</v>
      </c>
      <c r="C308" s="239" t="s">
        <v>302</v>
      </c>
      <c r="D308" s="238" t="s">
        <v>0</v>
      </c>
      <c r="E308" s="238">
        <v>7.36</v>
      </c>
      <c r="F308" s="238">
        <f>TRUNC(95.2046,2)</f>
        <v>95.2</v>
      </c>
      <c r="G308" s="240">
        <f t="shared" si="19"/>
        <v>700.67</v>
      </c>
      <c r="H308" s="182"/>
    </row>
    <row r="309" spans="1:8" s="181" customFormat="1" ht="26.25">
      <c r="A309" s="237"/>
      <c r="B309" s="238" t="s">
        <v>303</v>
      </c>
      <c r="C309" s="239" t="s">
        <v>304</v>
      </c>
      <c r="D309" s="238" t="s">
        <v>0</v>
      </c>
      <c r="E309" s="238">
        <v>6.24</v>
      </c>
      <c r="F309" s="238">
        <f>TRUNC(23.4281,2)</f>
        <v>23.42</v>
      </c>
      <c r="G309" s="240">
        <f t="shared" si="19"/>
        <v>146.14</v>
      </c>
      <c r="H309" s="182"/>
    </row>
    <row r="310" spans="1:8" s="181" customFormat="1" ht="26.25">
      <c r="A310" s="237"/>
      <c r="B310" s="238" t="s">
        <v>313</v>
      </c>
      <c r="C310" s="239" t="s">
        <v>314</v>
      </c>
      <c r="D310" s="238" t="s">
        <v>0</v>
      </c>
      <c r="E310" s="238">
        <v>1.92</v>
      </c>
      <c r="F310" s="238">
        <f>TRUNC(52.8664,2)</f>
        <v>52.86</v>
      </c>
      <c r="G310" s="240">
        <f t="shared" si="19"/>
        <v>101.49</v>
      </c>
      <c r="H310" s="182"/>
    </row>
    <row r="311" spans="1:8" s="181" customFormat="1" ht="26.25">
      <c r="A311" s="237"/>
      <c r="B311" s="238" t="s">
        <v>305</v>
      </c>
      <c r="C311" s="239" t="s">
        <v>306</v>
      </c>
      <c r="D311" s="238" t="s">
        <v>1</v>
      </c>
      <c r="E311" s="238">
        <v>0.871</v>
      </c>
      <c r="F311" s="238">
        <f>TRUNC(195.1539,2)</f>
        <v>195.15</v>
      </c>
      <c r="G311" s="240">
        <f t="shared" si="19"/>
        <v>169.97</v>
      </c>
      <c r="H311" s="182"/>
    </row>
    <row r="312" spans="1:8" s="181" customFormat="1" ht="26.25">
      <c r="A312" s="237"/>
      <c r="B312" s="238" t="s">
        <v>315</v>
      </c>
      <c r="C312" s="239" t="s">
        <v>316</v>
      </c>
      <c r="D312" s="238" t="s">
        <v>128</v>
      </c>
      <c r="E312" s="238">
        <v>0.17</v>
      </c>
      <c r="F312" s="238">
        <f>TRUNC(69.7482,2)</f>
        <v>69.74</v>
      </c>
      <c r="G312" s="240">
        <f t="shared" si="19"/>
        <v>11.85</v>
      </c>
      <c r="H312" s="182"/>
    </row>
    <row r="313" spans="1:8" s="181" customFormat="1" ht="26.25">
      <c r="A313" s="237"/>
      <c r="B313" s="238" t="s">
        <v>278</v>
      </c>
      <c r="C313" s="239" t="s">
        <v>279</v>
      </c>
      <c r="D313" s="238" t="s">
        <v>128</v>
      </c>
      <c r="E313" s="238">
        <v>0.33</v>
      </c>
      <c r="F313" s="238">
        <f>TRUNC(153.758,2)</f>
        <v>153.75</v>
      </c>
      <c r="G313" s="240">
        <f t="shared" si="19"/>
        <v>50.73</v>
      </c>
      <c r="H313" s="182"/>
    </row>
    <row r="314" spans="1:8" s="181" customFormat="1" ht="26.25">
      <c r="A314" s="241"/>
      <c r="B314" s="242"/>
      <c r="C314" s="243"/>
      <c r="D314" s="242"/>
      <c r="E314" s="242" t="s">
        <v>3</v>
      </c>
      <c r="F314" s="242"/>
      <c r="G314" s="244">
        <f>TRUNC(SUM(G301:G313),2)</f>
        <v>1674.22</v>
      </c>
      <c r="H314" s="182"/>
    </row>
    <row r="315" spans="1:7" ht="60">
      <c r="A315" s="125" t="s">
        <v>75</v>
      </c>
      <c r="B315" s="126" t="s">
        <v>296</v>
      </c>
      <c r="C315" s="17" t="s">
        <v>91</v>
      </c>
      <c r="D315" s="127" t="s">
        <v>9</v>
      </c>
      <c r="E315" s="128"/>
      <c r="F315" s="129">
        <f>TRUNC(F316,2)</f>
        <v>613.55</v>
      </c>
      <c r="G315" s="111">
        <f>TRUNC((E315*F315),2)</f>
        <v>0</v>
      </c>
    </row>
    <row r="316" spans="1:7" ht="90">
      <c r="A316" s="64"/>
      <c r="B316" s="18" t="s">
        <v>296</v>
      </c>
      <c r="C316" s="16" t="s">
        <v>297</v>
      </c>
      <c r="D316" s="47" t="s">
        <v>9</v>
      </c>
      <c r="E316" s="47">
        <v>1</v>
      </c>
      <c r="F316" s="65">
        <f>G323</f>
        <v>613.55</v>
      </c>
      <c r="G316" s="66">
        <f aca="true" t="shared" si="20" ref="G316:G322">TRUNC(E316*F316,2)</f>
        <v>613.55</v>
      </c>
    </row>
    <row r="317" spans="1:7" ht="30">
      <c r="A317" s="67"/>
      <c r="B317" s="113" t="s">
        <v>138</v>
      </c>
      <c r="C317" s="69" t="s">
        <v>298</v>
      </c>
      <c r="D317" s="68" t="s">
        <v>9</v>
      </c>
      <c r="E317" s="68">
        <v>1</v>
      </c>
      <c r="F317" s="70">
        <f>TRUNC(238,2)</f>
        <v>238</v>
      </c>
      <c r="G317" s="71">
        <f t="shared" si="20"/>
        <v>238</v>
      </c>
    </row>
    <row r="318" spans="1:7" ht="15.75">
      <c r="A318" s="67"/>
      <c r="B318" s="113" t="s">
        <v>209</v>
      </c>
      <c r="C318" s="69" t="s">
        <v>210</v>
      </c>
      <c r="D318" s="68" t="s">
        <v>128</v>
      </c>
      <c r="E318" s="68">
        <v>1.1844999999999999</v>
      </c>
      <c r="F318" s="70">
        <f>TRUNC(14.47,2)</f>
        <v>14.47</v>
      </c>
      <c r="G318" s="71">
        <f t="shared" si="20"/>
        <v>17.13</v>
      </c>
    </row>
    <row r="319" spans="1:7" ht="15.75">
      <c r="A319" s="67"/>
      <c r="B319" s="113" t="s">
        <v>299</v>
      </c>
      <c r="C319" s="69" t="s">
        <v>300</v>
      </c>
      <c r="D319" s="68" t="s">
        <v>128</v>
      </c>
      <c r="E319" s="68">
        <v>1.1844999999999999</v>
      </c>
      <c r="F319" s="70">
        <f>TRUNC(19.97,2)</f>
        <v>19.97</v>
      </c>
      <c r="G319" s="71">
        <f t="shared" si="20"/>
        <v>23.65</v>
      </c>
    </row>
    <row r="320" spans="1:7" ht="15.75">
      <c r="A320" s="67"/>
      <c r="B320" s="113" t="s">
        <v>301</v>
      </c>
      <c r="C320" s="69" t="s">
        <v>302</v>
      </c>
      <c r="D320" s="68" t="s">
        <v>0</v>
      </c>
      <c r="E320" s="68">
        <v>2.88</v>
      </c>
      <c r="F320" s="70">
        <f>TRUNC(95.2046,2)</f>
        <v>95.2</v>
      </c>
      <c r="G320" s="71">
        <f t="shared" si="20"/>
        <v>274.17</v>
      </c>
    </row>
    <row r="321" spans="1:7" ht="15.75">
      <c r="A321" s="67"/>
      <c r="B321" s="113" t="s">
        <v>303</v>
      </c>
      <c r="C321" s="69" t="s">
        <v>304</v>
      </c>
      <c r="D321" s="68" t="s">
        <v>0</v>
      </c>
      <c r="E321" s="68">
        <v>2.163</v>
      </c>
      <c r="F321" s="70">
        <f>TRUNC(23.4281,2)</f>
        <v>23.42</v>
      </c>
      <c r="G321" s="71">
        <f t="shared" si="20"/>
        <v>50.65</v>
      </c>
    </row>
    <row r="322" spans="1:7" ht="15.75">
      <c r="A322" s="67"/>
      <c r="B322" s="113" t="s">
        <v>305</v>
      </c>
      <c r="C322" s="69" t="s">
        <v>306</v>
      </c>
      <c r="D322" s="68" t="s">
        <v>1</v>
      </c>
      <c r="E322" s="68">
        <v>0.051</v>
      </c>
      <c r="F322" s="70">
        <f>TRUNC(195.1539,2)</f>
        <v>195.15</v>
      </c>
      <c r="G322" s="71">
        <f t="shared" si="20"/>
        <v>9.95</v>
      </c>
    </row>
    <row r="323" spans="1:7" ht="15.75">
      <c r="A323" s="67"/>
      <c r="B323" s="113"/>
      <c r="C323" s="69"/>
      <c r="D323" s="68"/>
      <c r="E323" s="68" t="s">
        <v>3</v>
      </c>
      <c r="F323" s="70"/>
      <c r="G323" s="71">
        <f>TRUNC(SUM(G317:G322),2)</f>
        <v>613.55</v>
      </c>
    </row>
    <row r="324" spans="1:7" s="20" customFormat="1" ht="30">
      <c r="A324" s="31" t="s">
        <v>76</v>
      </c>
      <c r="B324" s="98" t="s">
        <v>601</v>
      </c>
      <c r="C324" s="87" t="s">
        <v>600</v>
      </c>
      <c r="D324" s="86" t="s">
        <v>9</v>
      </c>
      <c r="E324" s="99"/>
      <c r="F324" s="100">
        <f>TRUNC(G325+G344,2)</f>
        <v>6663.16</v>
      </c>
      <c r="G324" s="73">
        <f>TRUNC((E324*F324),2)</f>
        <v>0</v>
      </c>
    </row>
    <row r="325" spans="1:7" s="20" customFormat="1" ht="47.25">
      <c r="A325" s="206" t="s">
        <v>446</v>
      </c>
      <c r="B325" s="131" t="s">
        <v>521</v>
      </c>
      <c r="C325" s="132" t="s">
        <v>522</v>
      </c>
      <c r="D325" s="131" t="s">
        <v>9</v>
      </c>
      <c r="E325" s="131">
        <v>1</v>
      </c>
      <c r="F325" s="133">
        <f>G343</f>
        <v>4906.56</v>
      </c>
      <c r="G325" s="207">
        <f aca="true" t="shared" si="21" ref="G325:G342">TRUNC(E325*F325,2)</f>
        <v>4906.56</v>
      </c>
    </row>
    <row r="326" spans="1:7" s="20" customFormat="1" ht="15.75">
      <c r="A326" s="113"/>
      <c r="B326" s="83" t="s">
        <v>525</v>
      </c>
      <c r="C326" s="84" t="s">
        <v>526</v>
      </c>
      <c r="D326" s="83" t="s">
        <v>9</v>
      </c>
      <c r="E326" s="83">
        <v>152.5539</v>
      </c>
      <c r="F326" s="85">
        <f>TRUNC(2.76,2)</f>
        <v>2.76</v>
      </c>
      <c r="G326" s="205">
        <f t="shared" si="21"/>
        <v>421.04</v>
      </c>
    </row>
    <row r="327" spans="1:7" s="20" customFormat="1" ht="15.75">
      <c r="A327" s="113"/>
      <c r="B327" s="83" t="s">
        <v>527</v>
      </c>
      <c r="C327" s="84" t="s">
        <v>528</v>
      </c>
      <c r="D327" s="83" t="s">
        <v>9</v>
      </c>
      <c r="E327" s="83">
        <v>46.2</v>
      </c>
      <c r="F327" s="85">
        <f>TRUNC(1.69,2)</f>
        <v>1.69</v>
      </c>
      <c r="G327" s="205">
        <f t="shared" si="21"/>
        <v>78.07</v>
      </c>
    </row>
    <row r="328" spans="1:7" s="20" customFormat="1" ht="15.75">
      <c r="A328" s="113"/>
      <c r="B328" s="83" t="s">
        <v>250</v>
      </c>
      <c r="C328" s="84" t="s">
        <v>251</v>
      </c>
      <c r="D328" s="83" t="s">
        <v>128</v>
      </c>
      <c r="E328" s="83">
        <v>36.3089</v>
      </c>
      <c r="F328" s="85">
        <f>TRUNC(26.33,2)</f>
        <v>26.33</v>
      </c>
      <c r="G328" s="205">
        <f t="shared" si="21"/>
        <v>956.01</v>
      </c>
    </row>
    <row r="329" spans="1:7" s="20" customFormat="1" ht="15.75">
      <c r="A329" s="113"/>
      <c r="B329" s="83" t="s">
        <v>243</v>
      </c>
      <c r="C329" s="84" t="s">
        <v>178</v>
      </c>
      <c r="D329" s="83" t="s">
        <v>128</v>
      </c>
      <c r="E329" s="83">
        <v>36.3089</v>
      </c>
      <c r="F329" s="85">
        <f>TRUNC(20.74,2)</f>
        <v>20.74</v>
      </c>
      <c r="G329" s="205">
        <f t="shared" si="21"/>
        <v>753.04</v>
      </c>
    </row>
    <row r="330" spans="1:7" s="20" customFormat="1" ht="45">
      <c r="A330" s="113"/>
      <c r="B330" s="83" t="s">
        <v>529</v>
      </c>
      <c r="C330" s="84" t="s">
        <v>530</v>
      </c>
      <c r="D330" s="83" t="s">
        <v>125</v>
      </c>
      <c r="E330" s="83">
        <v>31.7844</v>
      </c>
      <c r="F330" s="85">
        <f>TRUNC(13.4,2)</f>
        <v>13.4</v>
      </c>
      <c r="G330" s="205">
        <f t="shared" si="21"/>
        <v>425.91</v>
      </c>
    </row>
    <row r="331" spans="1:7" s="20" customFormat="1" ht="60">
      <c r="A331" s="113"/>
      <c r="B331" s="83" t="s">
        <v>531</v>
      </c>
      <c r="C331" s="84" t="s">
        <v>532</v>
      </c>
      <c r="D331" s="83" t="s">
        <v>132</v>
      </c>
      <c r="E331" s="83">
        <v>0.9211</v>
      </c>
      <c r="F331" s="85">
        <f>TRUNC(45.02,2)</f>
        <v>45.02</v>
      </c>
      <c r="G331" s="205">
        <f t="shared" si="21"/>
        <v>41.46</v>
      </c>
    </row>
    <row r="332" spans="1:7" s="20" customFormat="1" ht="30">
      <c r="A332" s="113"/>
      <c r="B332" s="83" t="s">
        <v>533</v>
      </c>
      <c r="C332" s="84" t="s">
        <v>534</v>
      </c>
      <c r="D332" s="83" t="s">
        <v>1</v>
      </c>
      <c r="E332" s="83">
        <v>0.0071</v>
      </c>
      <c r="F332" s="85">
        <f>TRUNC(318.7,2)</f>
        <v>318.7</v>
      </c>
      <c r="G332" s="205">
        <f t="shared" si="21"/>
        <v>2.26</v>
      </c>
    </row>
    <row r="333" spans="1:7" s="20" customFormat="1" ht="15.75">
      <c r="A333" s="113"/>
      <c r="B333" s="83" t="s">
        <v>535</v>
      </c>
      <c r="C333" s="84" t="s">
        <v>536</v>
      </c>
      <c r="D333" s="83" t="s">
        <v>1</v>
      </c>
      <c r="E333" s="83">
        <v>0.0598</v>
      </c>
      <c r="F333" s="85">
        <f>TRUNC(695.62,2)</f>
        <v>695.62</v>
      </c>
      <c r="G333" s="205">
        <f t="shared" si="21"/>
        <v>41.59</v>
      </c>
    </row>
    <row r="334" spans="1:7" s="20" customFormat="1" ht="30">
      <c r="A334" s="113"/>
      <c r="B334" s="83" t="s">
        <v>537</v>
      </c>
      <c r="C334" s="84" t="s">
        <v>538</v>
      </c>
      <c r="D334" s="83" t="s">
        <v>1</v>
      </c>
      <c r="E334" s="83">
        <v>0.1354</v>
      </c>
      <c r="F334" s="85">
        <f>TRUNC(660.3,2)</f>
        <v>660.3</v>
      </c>
      <c r="G334" s="205">
        <f t="shared" si="21"/>
        <v>89.4</v>
      </c>
    </row>
    <row r="335" spans="1:7" s="20" customFormat="1" ht="60">
      <c r="A335" s="113"/>
      <c r="B335" s="83" t="s">
        <v>539</v>
      </c>
      <c r="C335" s="84" t="s">
        <v>540</v>
      </c>
      <c r="D335" s="83" t="s">
        <v>133</v>
      </c>
      <c r="E335" s="83">
        <v>0.2738</v>
      </c>
      <c r="F335" s="85">
        <f>TRUNC(105.29,2)</f>
        <v>105.29</v>
      </c>
      <c r="G335" s="205">
        <f t="shared" si="21"/>
        <v>28.82</v>
      </c>
    </row>
    <row r="336" spans="1:7" s="20" customFormat="1" ht="30">
      <c r="A336" s="113"/>
      <c r="B336" s="83" t="s">
        <v>541</v>
      </c>
      <c r="C336" s="84" t="s">
        <v>542</v>
      </c>
      <c r="D336" s="83" t="s">
        <v>125</v>
      </c>
      <c r="E336" s="83">
        <v>5.4296</v>
      </c>
      <c r="F336" s="85">
        <f>TRUNC(6.07,2)</f>
        <v>6.07</v>
      </c>
      <c r="G336" s="205">
        <f t="shared" si="21"/>
        <v>32.95</v>
      </c>
    </row>
    <row r="337" spans="1:7" s="20" customFormat="1" ht="45">
      <c r="A337" s="113"/>
      <c r="B337" s="83" t="s">
        <v>543</v>
      </c>
      <c r="C337" s="84" t="s">
        <v>544</v>
      </c>
      <c r="D337" s="83" t="s">
        <v>1</v>
      </c>
      <c r="E337" s="83">
        <v>1.3068</v>
      </c>
      <c r="F337" s="85">
        <f>TRUNC(146.55,2)</f>
        <v>146.55</v>
      </c>
      <c r="G337" s="205">
        <f t="shared" si="21"/>
        <v>191.51</v>
      </c>
    </row>
    <row r="338" spans="1:7" s="20" customFormat="1" ht="30">
      <c r="A338" s="113"/>
      <c r="B338" s="83" t="s">
        <v>545</v>
      </c>
      <c r="C338" s="84" t="s">
        <v>546</v>
      </c>
      <c r="D338" s="83" t="s">
        <v>1</v>
      </c>
      <c r="E338" s="83">
        <v>1.1974</v>
      </c>
      <c r="F338" s="85">
        <f>TRUNC(284.42,2)</f>
        <v>284.42</v>
      </c>
      <c r="G338" s="205">
        <f t="shared" si="21"/>
        <v>340.56</v>
      </c>
    </row>
    <row r="339" spans="1:7" s="20" customFormat="1" ht="30">
      <c r="A339" s="113"/>
      <c r="B339" s="83" t="s">
        <v>547</v>
      </c>
      <c r="C339" s="84" t="s">
        <v>548</v>
      </c>
      <c r="D339" s="83" t="s">
        <v>1</v>
      </c>
      <c r="E339" s="83">
        <v>1.212</v>
      </c>
      <c r="F339" s="85">
        <f>TRUNC(402.58,2)</f>
        <v>402.58</v>
      </c>
      <c r="G339" s="205">
        <f t="shared" si="21"/>
        <v>487.92</v>
      </c>
    </row>
    <row r="340" spans="1:7" s="20" customFormat="1" ht="30">
      <c r="A340" s="113"/>
      <c r="B340" s="83" t="s">
        <v>549</v>
      </c>
      <c r="C340" s="84" t="s">
        <v>550</v>
      </c>
      <c r="D340" s="83" t="s">
        <v>1</v>
      </c>
      <c r="E340" s="83">
        <v>0.8216</v>
      </c>
      <c r="F340" s="85">
        <f>TRUNC(1120.97,2)</f>
        <v>1120.97</v>
      </c>
      <c r="G340" s="205">
        <f t="shared" si="21"/>
        <v>920.98</v>
      </c>
    </row>
    <row r="341" spans="1:7" s="20" customFormat="1" ht="30">
      <c r="A341" s="113"/>
      <c r="B341" s="83" t="s">
        <v>551</v>
      </c>
      <c r="C341" s="84" t="s">
        <v>552</v>
      </c>
      <c r="D341" s="83" t="s">
        <v>1</v>
      </c>
      <c r="E341" s="83">
        <v>0.0221</v>
      </c>
      <c r="F341" s="85">
        <f>TRUNC(3709.08,2)</f>
        <v>3709.08</v>
      </c>
      <c r="G341" s="205">
        <f t="shared" si="21"/>
        <v>81.97</v>
      </c>
    </row>
    <row r="342" spans="1:7" s="20" customFormat="1" ht="30">
      <c r="A342" s="113"/>
      <c r="B342" s="83" t="s">
        <v>553</v>
      </c>
      <c r="C342" s="84" t="s">
        <v>554</v>
      </c>
      <c r="D342" s="83" t="s">
        <v>125</v>
      </c>
      <c r="E342" s="83">
        <v>1.9744</v>
      </c>
      <c r="F342" s="85">
        <f>TRUNC(6.62,2)</f>
        <v>6.62</v>
      </c>
      <c r="G342" s="205">
        <f t="shared" si="21"/>
        <v>13.07</v>
      </c>
    </row>
    <row r="343" spans="1:7" s="20" customFormat="1" ht="15.75">
      <c r="A343" s="113"/>
      <c r="B343" s="83"/>
      <c r="C343" s="84"/>
      <c r="D343" s="83"/>
      <c r="E343" s="83" t="s">
        <v>3</v>
      </c>
      <c r="F343" s="85"/>
      <c r="G343" s="205">
        <f>TRUNC(SUM(G326:G342),2)</f>
        <v>4906.56</v>
      </c>
    </row>
    <row r="344" spans="1:7" s="20" customFormat="1" ht="31.5">
      <c r="A344" s="130" t="s">
        <v>565</v>
      </c>
      <c r="B344" s="131" t="s">
        <v>523</v>
      </c>
      <c r="C344" s="132" t="s">
        <v>524</v>
      </c>
      <c r="D344" s="131" t="s">
        <v>2</v>
      </c>
      <c r="E344" s="131">
        <f>2.3-1.45</f>
        <v>0.8499999999999999</v>
      </c>
      <c r="F344" s="133">
        <f>G355</f>
        <v>2066.59</v>
      </c>
      <c r="G344" s="134">
        <f>E344*F344</f>
        <v>1756.6014999999998</v>
      </c>
    </row>
    <row r="345" spans="1:7" s="20" customFormat="1" ht="15.75">
      <c r="A345" s="82"/>
      <c r="B345" s="83" t="s">
        <v>527</v>
      </c>
      <c r="C345" s="84" t="s">
        <v>528</v>
      </c>
      <c r="D345" s="83" t="s">
        <v>9</v>
      </c>
      <c r="E345" s="83">
        <v>23.1</v>
      </c>
      <c r="F345" s="85">
        <f>TRUNC(1.69,2)</f>
        <v>1.69</v>
      </c>
      <c r="G345" s="71">
        <f aca="true" t="shared" si="22" ref="G345:G354">TRUNC(E345*F345,2)</f>
        <v>39.03</v>
      </c>
    </row>
    <row r="346" spans="1:7" s="20" customFormat="1" ht="15.75">
      <c r="A346" s="82"/>
      <c r="B346" s="83" t="s">
        <v>525</v>
      </c>
      <c r="C346" s="84" t="s">
        <v>526</v>
      </c>
      <c r="D346" s="83" t="s">
        <v>9</v>
      </c>
      <c r="E346" s="83">
        <v>112.2267</v>
      </c>
      <c r="F346" s="85">
        <f>TRUNC(2.76,2)</f>
        <v>2.76</v>
      </c>
      <c r="G346" s="71">
        <f t="shared" si="22"/>
        <v>309.74</v>
      </c>
    </row>
    <row r="347" spans="1:7" s="20" customFormat="1" ht="15.75">
      <c r="A347" s="82"/>
      <c r="B347" s="83" t="s">
        <v>243</v>
      </c>
      <c r="C347" s="84" t="s">
        <v>178</v>
      </c>
      <c r="D347" s="83" t="s">
        <v>128</v>
      </c>
      <c r="E347" s="83">
        <v>28.3502</v>
      </c>
      <c r="F347" s="85">
        <f>TRUNC(20.74,2)</f>
        <v>20.74</v>
      </c>
      <c r="G347" s="71">
        <f t="shared" si="22"/>
        <v>587.98</v>
      </c>
    </row>
    <row r="348" spans="1:7" s="20" customFormat="1" ht="15.75">
      <c r="A348" s="82"/>
      <c r="B348" s="83" t="s">
        <v>250</v>
      </c>
      <c r="C348" s="84" t="s">
        <v>251</v>
      </c>
      <c r="D348" s="83" t="s">
        <v>128</v>
      </c>
      <c r="E348" s="83">
        <v>28.3502</v>
      </c>
      <c r="F348" s="85">
        <f>TRUNC(26.33,2)</f>
        <v>26.33</v>
      </c>
      <c r="G348" s="71">
        <f t="shared" si="22"/>
        <v>746.46</v>
      </c>
    </row>
    <row r="349" spans="1:7" s="20" customFormat="1" ht="30">
      <c r="A349" s="82"/>
      <c r="B349" s="83" t="s">
        <v>547</v>
      </c>
      <c r="C349" s="84" t="s">
        <v>548</v>
      </c>
      <c r="D349" s="83" t="s">
        <v>1</v>
      </c>
      <c r="E349" s="83">
        <v>0.6586</v>
      </c>
      <c r="F349" s="85">
        <f>TRUNC(402.58,2)</f>
        <v>402.58</v>
      </c>
      <c r="G349" s="71">
        <f t="shared" si="22"/>
        <v>265.13</v>
      </c>
    </row>
    <row r="350" spans="1:7" s="20" customFormat="1" ht="30">
      <c r="A350" s="82"/>
      <c r="B350" s="83" t="s">
        <v>541</v>
      </c>
      <c r="C350" s="84" t="s">
        <v>542</v>
      </c>
      <c r="D350" s="83" t="s">
        <v>125</v>
      </c>
      <c r="E350" s="83">
        <v>2.7148</v>
      </c>
      <c r="F350" s="85">
        <f>TRUNC(6.07,2)</f>
        <v>6.07</v>
      </c>
      <c r="G350" s="71">
        <f t="shared" si="22"/>
        <v>16.47</v>
      </c>
    </row>
    <row r="351" spans="1:7" s="20" customFormat="1" ht="30">
      <c r="A351" s="82"/>
      <c r="B351" s="83" t="s">
        <v>553</v>
      </c>
      <c r="C351" s="84" t="s">
        <v>554</v>
      </c>
      <c r="D351" s="83" t="s">
        <v>125</v>
      </c>
      <c r="E351" s="83">
        <v>1.9744</v>
      </c>
      <c r="F351" s="85">
        <f>TRUNC(6.62,2)</f>
        <v>6.62</v>
      </c>
      <c r="G351" s="71">
        <f t="shared" si="22"/>
        <v>13.07</v>
      </c>
    </row>
    <row r="352" spans="1:7" s="20" customFormat="1" ht="30">
      <c r="A352" s="82"/>
      <c r="B352" s="83" t="s">
        <v>537</v>
      </c>
      <c r="C352" s="84" t="s">
        <v>538</v>
      </c>
      <c r="D352" s="83" t="s">
        <v>1</v>
      </c>
      <c r="E352" s="83">
        <v>0.0677</v>
      </c>
      <c r="F352" s="85">
        <f>TRUNC(660.3,2)</f>
        <v>660.3</v>
      </c>
      <c r="G352" s="71">
        <f t="shared" si="22"/>
        <v>44.7</v>
      </c>
    </row>
    <row r="353" spans="1:7" s="20" customFormat="1" ht="15.75">
      <c r="A353" s="82"/>
      <c r="B353" s="83" t="s">
        <v>535</v>
      </c>
      <c r="C353" s="84" t="s">
        <v>536</v>
      </c>
      <c r="D353" s="83" t="s">
        <v>1</v>
      </c>
      <c r="E353" s="83">
        <v>0.0598</v>
      </c>
      <c r="F353" s="85">
        <f>TRUNC(695.62,2)</f>
        <v>695.62</v>
      </c>
      <c r="G353" s="71">
        <f t="shared" si="22"/>
        <v>41.59</v>
      </c>
    </row>
    <row r="354" spans="1:7" s="20" customFormat="1" ht="30">
      <c r="A354" s="82"/>
      <c r="B354" s="83" t="s">
        <v>533</v>
      </c>
      <c r="C354" s="84" t="s">
        <v>534</v>
      </c>
      <c r="D354" s="83" t="s">
        <v>1</v>
      </c>
      <c r="E354" s="83">
        <v>0.0076</v>
      </c>
      <c r="F354" s="85">
        <f>TRUNC(318.7,2)</f>
        <v>318.7</v>
      </c>
      <c r="G354" s="71">
        <f t="shared" si="22"/>
        <v>2.42</v>
      </c>
    </row>
    <row r="355" spans="1:7" s="20" customFormat="1" ht="15.75">
      <c r="A355" s="82"/>
      <c r="B355" s="83"/>
      <c r="C355" s="84"/>
      <c r="D355" s="83"/>
      <c r="E355" s="83" t="s">
        <v>3</v>
      </c>
      <c r="F355" s="85"/>
      <c r="G355" s="71">
        <f>TRUNC(SUM(G345:G354),2)</f>
        <v>2066.59</v>
      </c>
    </row>
    <row r="356" spans="1:7" s="20" customFormat="1" ht="30">
      <c r="A356" s="31" t="s">
        <v>77</v>
      </c>
      <c r="B356" s="98" t="s">
        <v>601</v>
      </c>
      <c r="C356" s="87" t="s">
        <v>602</v>
      </c>
      <c r="D356" s="86" t="s">
        <v>9</v>
      </c>
      <c r="E356" s="99"/>
      <c r="F356" s="100">
        <f>TRUNC(G357+G376,2)</f>
        <v>5216.54</v>
      </c>
      <c r="G356" s="73">
        <f>TRUNC((E356*F356),2)</f>
        <v>0</v>
      </c>
    </row>
    <row r="357" spans="1:7" s="20" customFormat="1" ht="47.25">
      <c r="A357" s="206" t="s">
        <v>446</v>
      </c>
      <c r="B357" s="131" t="s">
        <v>521</v>
      </c>
      <c r="C357" s="132" t="s">
        <v>522</v>
      </c>
      <c r="D357" s="131" t="s">
        <v>9</v>
      </c>
      <c r="E357" s="131">
        <v>1</v>
      </c>
      <c r="F357" s="133">
        <f>G375</f>
        <v>4906.56</v>
      </c>
      <c r="G357" s="207">
        <f aca="true" t="shared" si="23" ref="G357:G374">TRUNC(E357*F357,2)</f>
        <v>4906.56</v>
      </c>
    </row>
    <row r="358" spans="1:7" s="20" customFormat="1" ht="15.75">
      <c r="A358" s="113"/>
      <c r="B358" s="83" t="s">
        <v>525</v>
      </c>
      <c r="C358" s="84" t="s">
        <v>526</v>
      </c>
      <c r="D358" s="83" t="s">
        <v>9</v>
      </c>
      <c r="E358" s="83">
        <v>152.5539</v>
      </c>
      <c r="F358" s="85">
        <f>TRUNC(2.76,2)</f>
        <v>2.76</v>
      </c>
      <c r="G358" s="205">
        <f t="shared" si="23"/>
        <v>421.04</v>
      </c>
    </row>
    <row r="359" spans="1:7" s="20" customFormat="1" ht="15.75">
      <c r="A359" s="113"/>
      <c r="B359" s="83" t="s">
        <v>527</v>
      </c>
      <c r="C359" s="84" t="s">
        <v>528</v>
      </c>
      <c r="D359" s="83" t="s">
        <v>9</v>
      </c>
      <c r="E359" s="83">
        <v>46.2</v>
      </c>
      <c r="F359" s="85">
        <f>TRUNC(1.69,2)</f>
        <v>1.69</v>
      </c>
      <c r="G359" s="205">
        <f t="shared" si="23"/>
        <v>78.07</v>
      </c>
    </row>
    <row r="360" spans="1:7" s="20" customFormat="1" ht="15.75">
      <c r="A360" s="113"/>
      <c r="B360" s="83" t="s">
        <v>250</v>
      </c>
      <c r="C360" s="84" t="s">
        <v>251</v>
      </c>
      <c r="D360" s="83" t="s">
        <v>128</v>
      </c>
      <c r="E360" s="83">
        <v>36.3089</v>
      </c>
      <c r="F360" s="85">
        <f>TRUNC(26.33,2)</f>
        <v>26.33</v>
      </c>
      <c r="G360" s="205">
        <f t="shared" si="23"/>
        <v>956.01</v>
      </c>
    </row>
    <row r="361" spans="1:7" s="20" customFormat="1" ht="15.75">
      <c r="A361" s="113"/>
      <c r="B361" s="83" t="s">
        <v>243</v>
      </c>
      <c r="C361" s="84" t="s">
        <v>178</v>
      </c>
      <c r="D361" s="83" t="s">
        <v>128</v>
      </c>
      <c r="E361" s="83">
        <v>36.3089</v>
      </c>
      <c r="F361" s="85">
        <f>TRUNC(20.74,2)</f>
        <v>20.74</v>
      </c>
      <c r="G361" s="205">
        <f t="shared" si="23"/>
        <v>753.04</v>
      </c>
    </row>
    <row r="362" spans="1:7" s="20" customFormat="1" ht="45">
      <c r="A362" s="113"/>
      <c r="B362" s="83" t="s">
        <v>529</v>
      </c>
      <c r="C362" s="84" t="s">
        <v>530</v>
      </c>
      <c r="D362" s="83" t="s">
        <v>125</v>
      </c>
      <c r="E362" s="83">
        <v>31.7844</v>
      </c>
      <c r="F362" s="85">
        <f>TRUNC(13.4,2)</f>
        <v>13.4</v>
      </c>
      <c r="G362" s="205">
        <f t="shared" si="23"/>
        <v>425.91</v>
      </c>
    </row>
    <row r="363" spans="1:7" s="20" customFormat="1" ht="60">
      <c r="A363" s="113"/>
      <c r="B363" s="83" t="s">
        <v>531</v>
      </c>
      <c r="C363" s="84" t="s">
        <v>532</v>
      </c>
      <c r="D363" s="83" t="s">
        <v>132</v>
      </c>
      <c r="E363" s="83">
        <v>0.9211</v>
      </c>
      <c r="F363" s="85">
        <f>TRUNC(45.02,2)</f>
        <v>45.02</v>
      </c>
      <c r="G363" s="205">
        <f t="shared" si="23"/>
        <v>41.46</v>
      </c>
    </row>
    <row r="364" spans="1:7" s="20" customFormat="1" ht="30">
      <c r="A364" s="113"/>
      <c r="B364" s="83" t="s">
        <v>533</v>
      </c>
      <c r="C364" s="84" t="s">
        <v>534</v>
      </c>
      <c r="D364" s="83" t="s">
        <v>1</v>
      </c>
      <c r="E364" s="83">
        <v>0.0071</v>
      </c>
      <c r="F364" s="85">
        <f>TRUNC(318.7,2)</f>
        <v>318.7</v>
      </c>
      <c r="G364" s="205">
        <f t="shared" si="23"/>
        <v>2.26</v>
      </c>
    </row>
    <row r="365" spans="1:7" s="20" customFormat="1" ht="15.75">
      <c r="A365" s="113"/>
      <c r="B365" s="83" t="s">
        <v>535</v>
      </c>
      <c r="C365" s="84" t="s">
        <v>536</v>
      </c>
      <c r="D365" s="83" t="s">
        <v>1</v>
      </c>
      <c r="E365" s="83">
        <v>0.0598</v>
      </c>
      <c r="F365" s="85">
        <f>TRUNC(695.62,2)</f>
        <v>695.62</v>
      </c>
      <c r="G365" s="205">
        <f t="shared" si="23"/>
        <v>41.59</v>
      </c>
    </row>
    <row r="366" spans="1:7" s="20" customFormat="1" ht="30">
      <c r="A366" s="113"/>
      <c r="B366" s="83" t="s">
        <v>537</v>
      </c>
      <c r="C366" s="84" t="s">
        <v>538</v>
      </c>
      <c r="D366" s="83" t="s">
        <v>1</v>
      </c>
      <c r="E366" s="83">
        <v>0.1354</v>
      </c>
      <c r="F366" s="85">
        <f>TRUNC(660.3,2)</f>
        <v>660.3</v>
      </c>
      <c r="G366" s="205">
        <f t="shared" si="23"/>
        <v>89.4</v>
      </c>
    </row>
    <row r="367" spans="1:7" s="20" customFormat="1" ht="60">
      <c r="A367" s="113"/>
      <c r="B367" s="83" t="s">
        <v>539</v>
      </c>
      <c r="C367" s="84" t="s">
        <v>540</v>
      </c>
      <c r="D367" s="83" t="s">
        <v>133</v>
      </c>
      <c r="E367" s="83">
        <v>0.2738</v>
      </c>
      <c r="F367" s="85">
        <f>TRUNC(105.29,2)</f>
        <v>105.29</v>
      </c>
      <c r="G367" s="205">
        <f t="shared" si="23"/>
        <v>28.82</v>
      </c>
    </row>
    <row r="368" spans="1:7" s="20" customFormat="1" ht="30">
      <c r="A368" s="113"/>
      <c r="B368" s="83" t="s">
        <v>541</v>
      </c>
      <c r="C368" s="84" t="s">
        <v>542</v>
      </c>
      <c r="D368" s="83" t="s">
        <v>125</v>
      </c>
      <c r="E368" s="83">
        <v>5.4296</v>
      </c>
      <c r="F368" s="85">
        <f>TRUNC(6.07,2)</f>
        <v>6.07</v>
      </c>
      <c r="G368" s="205">
        <f t="shared" si="23"/>
        <v>32.95</v>
      </c>
    </row>
    <row r="369" spans="1:7" s="20" customFormat="1" ht="45">
      <c r="A369" s="113"/>
      <c r="B369" s="83" t="s">
        <v>543</v>
      </c>
      <c r="C369" s="84" t="s">
        <v>544</v>
      </c>
      <c r="D369" s="83" t="s">
        <v>1</v>
      </c>
      <c r="E369" s="83">
        <v>1.3068</v>
      </c>
      <c r="F369" s="85">
        <f>TRUNC(146.55,2)</f>
        <v>146.55</v>
      </c>
      <c r="G369" s="205">
        <f t="shared" si="23"/>
        <v>191.51</v>
      </c>
    </row>
    <row r="370" spans="1:7" s="20" customFormat="1" ht="30">
      <c r="A370" s="113"/>
      <c r="B370" s="83" t="s">
        <v>545</v>
      </c>
      <c r="C370" s="84" t="s">
        <v>546</v>
      </c>
      <c r="D370" s="83" t="s">
        <v>1</v>
      </c>
      <c r="E370" s="83">
        <v>1.1974</v>
      </c>
      <c r="F370" s="85">
        <f>TRUNC(284.42,2)</f>
        <v>284.42</v>
      </c>
      <c r="G370" s="205">
        <f t="shared" si="23"/>
        <v>340.56</v>
      </c>
    </row>
    <row r="371" spans="1:7" s="20" customFormat="1" ht="30">
      <c r="A371" s="113"/>
      <c r="B371" s="83" t="s">
        <v>547</v>
      </c>
      <c r="C371" s="84" t="s">
        <v>548</v>
      </c>
      <c r="D371" s="83" t="s">
        <v>1</v>
      </c>
      <c r="E371" s="83">
        <v>1.212</v>
      </c>
      <c r="F371" s="85">
        <f>TRUNC(402.58,2)</f>
        <v>402.58</v>
      </c>
      <c r="G371" s="205">
        <f t="shared" si="23"/>
        <v>487.92</v>
      </c>
    </row>
    <row r="372" spans="1:7" s="20" customFormat="1" ht="30">
      <c r="A372" s="113"/>
      <c r="B372" s="83" t="s">
        <v>549</v>
      </c>
      <c r="C372" s="84" t="s">
        <v>550</v>
      </c>
      <c r="D372" s="83" t="s">
        <v>1</v>
      </c>
      <c r="E372" s="83">
        <v>0.8216</v>
      </c>
      <c r="F372" s="85">
        <f>TRUNC(1120.97,2)</f>
        <v>1120.97</v>
      </c>
      <c r="G372" s="205">
        <f t="shared" si="23"/>
        <v>920.98</v>
      </c>
    </row>
    <row r="373" spans="1:7" s="20" customFormat="1" ht="30">
      <c r="A373" s="113"/>
      <c r="B373" s="83" t="s">
        <v>551</v>
      </c>
      <c r="C373" s="84" t="s">
        <v>552</v>
      </c>
      <c r="D373" s="83" t="s">
        <v>1</v>
      </c>
      <c r="E373" s="83">
        <v>0.0221</v>
      </c>
      <c r="F373" s="85">
        <f>TRUNC(3709.08,2)</f>
        <v>3709.08</v>
      </c>
      <c r="G373" s="205">
        <f t="shared" si="23"/>
        <v>81.97</v>
      </c>
    </row>
    <row r="374" spans="1:7" s="20" customFormat="1" ht="30">
      <c r="A374" s="113"/>
      <c r="B374" s="83" t="s">
        <v>553</v>
      </c>
      <c r="C374" s="84" t="s">
        <v>554</v>
      </c>
      <c r="D374" s="83" t="s">
        <v>125</v>
      </c>
      <c r="E374" s="83">
        <v>1.9744</v>
      </c>
      <c r="F374" s="85">
        <f>TRUNC(6.62,2)</f>
        <v>6.62</v>
      </c>
      <c r="G374" s="205">
        <f t="shared" si="23"/>
        <v>13.07</v>
      </c>
    </row>
    <row r="375" spans="1:7" s="20" customFormat="1" ht="15.75">
      <c r="A375" s="113"/>
      <c r="B375" s="83"/>
      <c r="C375" s="84"/>
      <c r="D375" s="83"/>
      <c r="E375" s="83" t="s">
        <v>3</v>
      </c>
      <c r="F375" s="85"/>
      <c r="G375" s="205">
        <f>TRUNC(SUM(G358:G374),2)</f>
        <v>4906.56</v>
      </c>
    </row>
    <row r="376" spans="1:7" s="20" customFormat="1" ht="31.5">
      <c r="A376" s="130" t="s">
        <v>565</v>
      </c>
      <c r="B376" s="131" t="s">
        <v>523</v>
      </c>
      <c r="C376" s="132" t="s">
        <v>524</v>
      </c>
      <c r="D376" s="131" t="s">
        <v>2</v>
      </c>
      <c r="E376" s="131">
        <f>1.6-1.45</f>
        <v>0.15000000000000013</v>
      </c>
      <c r="F376" s="133">
        <f>G387</f>
        <v>2066.59</v>
      </c>
      <c r="G376" s="134">
        <f>E376*F376</f>
        <v>309.9885000000003</v>
      </c>
    </row>
    <row r="377" spans="1:7" s="20" customFormat="1" ht="15.75">
      <c r="A377" s="82"/>
      <c r="B377" s="83" t="s">
        <v>527</v>
      </c>
      <c r="C377" s="84" t="s">
        <v>528</v>
      </c>
      <c r="D377" s="83" t="s">
        <v>9</v>
      </c>
      <c r="E377" s="83">
        <v>23.1</v>
      </c>
      <c r="F377" s="85">
        <f>TRUNC(1.69,2)</f>
        <v>1.69</v>
      </c>
      <c r="G377" s="71">
        <f aca="true" t="shared" si="24" ref="G377:G386">TRUNC(E377*F377,2)</f>
        <v>39.03</v>
      </c>
    </row>
    <row r="378" spans="1:7" s="20" customFormat="1" ht="15.75">
      <c r="A378" s="82"/>
      <c r="B378" s="83" t="s">
        <v>525</v>
      </c>
      <c r="C378" s="84" t="s">
        <v>526</v>
      </c>
      <c r="D378" s="83" t="s">
        <v>9</v>
      </c>
      <c r="E378" s="83">
        <v>112.2267</v>
      </c>
      <c r="F378" s="85">
        <f>TRUNC(2.76,2)</f>
        <v>2.76</v>
      </c>
      <c r="G378" s="71">
        <f t="shared" si="24"/>
        <v>309.74</v>
      </c>
    </row>
    <row r="379" spans="1:7" s="20" customFormat="1" ht="15.75">
      <c r="A379" s="82"/>
      <c r="B379" s="83" t="s">
        <v>243</v>
      </c>
      <c r="C379" s="84" t="s">
        <v>178</v>
      </c>
      <c r="D379" s="83" t="s">
        <v>128</v>
      </c>
      <c r="E379" s="83">
        <v>28.3502</v>
      </c>
      <c r="F379" s="85">
        <f>TRUNC(20.74,2)</f>
        <v>20.74</v>
      </c>
      <c r="G379" s="71">
        <f t="shared" si="24"/>
        <v>587.98</v>
      </c>
    </row>
    <row r="380" spans="1:7" s="20" customFormat="1" ht="15.75">
      <c r="A380" s="82"/>
      <c r="B380" s="83" t="s">
        <v>250</v>
      </c>
      <c r="C380" s="84" t="s">
        <v>251</v>
      </c>
      <c r="D380" s="83" t="s">
        <v>128</v>
      </c>
      <c r="E380" s="83">
        <v>28.3502</v>
      </c>
      <c r="F380" s="85">
        <f>TRUNC(26.33,2)</f>
        <v>26.33</v>
      </c>
      <c r="G380" s="71">
        <f t="shared" si="24"/>
        <v>746.46</v>
      </c>
    </row>
    <row r="381" spans="1:7" s="20" customFormat="1" ht="30">
      <c r="A381" s="82"/>
      <c r="B381" s="83" t="s">
        <v>547</v>
      </c>
      <c r="C381" s="84" t="s">
        <v>548</v>
      </c>
      <c r="D381" s="83" t="s">
        <v>1</v>
      </c>
      <c r="E381" s="83">
        <v>0.6586</v>
      </c>
      <c r="F381" s="85">
        <f>TRUNC(402.58,2)</f>
        <v>402.58</v>
      </c>
      <c r="G381" s="71">
        <f t="shared" si="24"/>
        <v>265.13</v>
      </c>
    </row>
    <row r="382" spans="1:7" s="20" customFormat="1" ht="30">
      <c r="A382" s="82"/>
      <c r="B382" s="83" t="s">
        <v>541</v>
      </c>
      <c r="C382" s="84" t="s">
        <v>542</v>
      </c>
      <c r="D382" s="83" t="s">
        <v>125</v>
      </c>
      <c r="E382" s="83">
        <v>2.7148</v>
      </c>
      <c r="F382" s="85">
        <f>TRUNC(6.07,2)</f>
        <v>6.07</v>
      </c>
      <c r="G382" s="71">
        <f t="shared" si="24"/>
        <v>16.47</v>
      </c>
    </row>
    <row r="383" spans="1:7" s="20" customFormat="1" ht="30">
      <c r="A383" s="82"/>
      <c r="B383" s="83" t="s">
        <v>553</v>
      </c>
      <c r="C383" s="84" t="s">
        <v>554</v>
      </c>
      <c r="D383" s="83" t="s">
        <v>125</v>
      </c>
      <c r="E383" s="83">
        <v>1.9744</v>
      </c>
      <c r="F383" s="85">
        <f>TRUNC(6.62,2)</f>
        <v>6.62</v>
      </c>
      <c r="G383" s="71">
        <f t="shared" si="24"/>
        <v>13.07</v>
      </c>
    </row>
    <row r="384" spans="1:7" s="20" customFormat="1" ht="30">
      <c r="A384" s="82"/>
      <c r="B384" s="83" t="s">
        <v>537</v>
      </c>
      <c r="C384" s="84" t="s">
        <v>538</v>
      </c>
      <c r="D384" s="83" t="s">
        <v>1</v>
      </c>
      <c r="E384" s="83">
        <v>0.0677</v>
      </c>
      <c r="F384" s="85">
        <f>TRUNC(660.3,2)</f>
        <v>660.3</v>
      </c>
      <c r="G384" s="71">
        <f t="shared" si="24"/>
        <v>44.7</v>
      </c>
    </row>
    <row r="385" spans="1:7" s="20" customFormat="1" ht="15.75">
      <c r="A385" s="82"/>
      <c r="B385" s="83" t="s">
        <v>535</v>
      </c>
      <c r="C385" s="84" t="s">
        <v>536</v>
      </c>
      <c r="D385" s="83" t="s">
        <v>1</v>
      </c>
      <c r="E385" s="83">
        <v>0.0598</v>
      </c>
      <c r="F385" s="85">
        <f>TRUNC(695.62,2)</f>
        <v>695.62</v>
      </c>
      <c r="G385" s="71">
        <f t="shared" si="24"/>
        <v>41.59</v>
      </c>
    </row>
    <row r="386" spans="1:7" s="20" customFormat="1" ht="30">
      <c r="A386" s="82"/>
      <c r="B386" s="83" t="s">
        <v>533</v>
      </c>
      <c r="C386" s="84" t="s">
        <v>534</v>
      </c>
      <c r="D386" s="83" t="s">
        <v>1</v>
      </c>
      <c r="E386" s="83">
        <v>0.0076</v>
      </c>
      <c r="F386" s="85">
        <f>TRUNC(318.7,2)</f>
        <v>318.7</v>
      </c>
      <c r="G386" s="71">
        <f t="shared" si="24"/>
        <v>2.42</v>
      </c>
    </row>
    <row r="387" spans="1:7" s="20" customFormat="1" ht="15.75">
      <c r="A387" s="82"/>
      <c r="B387" s="83"/>
      <c r="C387" s="84"/>
      <c r="D387" s="83"/>
      <c r="E387" s="83" t="s">
        <v>3</v>
      </c>
      <c r="F387" s="85"/>
      <c r="G387" s="71">
        <f>TRUNC(SUM(G377:G386),2)</f>
        <v>2066.59</v>
      </c>
    </row>
    <row r="388" spans="1:7" s="20" customFormat="1" ht="30">
      <c r="A388" s="31" t="s">
        <v>78</v>
      </c>
      <c r="B388" s="98" t="s">
        <v>601</v>
      </c>
      <c r="C388" s="87" t="s">
        <v>603</v>
      </c>
      <c r="D388" s="86" t="s">
        <v>9</v>
      </c>
      <c r="E388" s="99"/>
      <c r="F388" s="100">
        <f>TRUNC(G389+G408,2)</f>
        <v>6869.82</v>
      </c>
      <c r="G388" s="73">
        <f>TRUNC((E388*F388),2)</f>
        <v>0</v>
      </c>
    </row>
    <row r="389" spans="1:7" s="20" customFormat="1" ht="47.25">
      <c r="A389" s="206" t="s">
        <v>446</v>
      </c>
      <c r="B389" s="131" t="s">
        <v>521</v>
      </c>
      <c r="C389" s="132" t="s">
        <v>522</v>
      </c>
      <c r="D389" s="131" t="s">
        <v>9</v>
      </c>
      <c r="E389" s="131">
        <v>1</v>
      </c>
      <c r="F389" s="133">
        <f>G407</f>
        <v>4906.56</v>
      </c>
      <c r="G389" s="207">
        <f aca="true" t="shared" si="25" ref="G389:G406">TRUNC(E389*F389,2)</f>
        <v>4906.56</v>
      </c>
    </row>
    <row r="390" spans="1:7" s="20" customFormat="1" ht="15.75">
      <c r="A390" s="113"/>
      <c r="B390" s="83" t="s">
        <v>525</v>
      </c>
      <c r="C390" s="84" t="s">
        <v>526</v>
      </c>
      <c r="D390" s="83" t="s">
        <v>9</v>
      </c>
      <c r="E390" s="83">
        <v>152.5539</v>
      </c>
      <c r="F390" s="85">
        <f>TRUNC(2.76,2)</f>
        <v>2.76</v>
      </c>
      <c r="G390" s="205">
        <f t="shared" si="25"/>
        <v>421.04</v>
      </c>
    </row>
    <row r="391" spans="1:7" s="20" customFormat="1" ht="15.75">
      <c r="A391" s="113"/>
      <c r="B391" s="83" t="s">
        <v>527</v>
      </c>
      <c r="C391" s="84" t="s">
        <v>528</v>
      </c>
      <c r="D391" s="83" t="s">
        <v>9</v>
      </c>
      <c r="E391" s="83">
        <v>46.2</v>
      </c>
      <c r="F391" s="85">
        <f>TRUNC(1.69,2)</f>
        <v>1.69</v>
      </c>
      <c r="G391" s="205">
        <f t="shared" si="25"/>
        <v>78.07</v>
      </c>
    </row>
    <row r="392" spans="1:7" s="20" customFormat="1" ht="15.75">
      <c r="A392" s="113"/>
      <c r="B392" s="83" t="s">
        <v>250</v>
      </c>
      <c r="C392" s="84" t="s">
        <v>251</v>
      </c>
      <c r="D392" s="83" t="s">
        <v>128</v>
      </c>
      <c r="E392" s="83">
        <v>36.3089</v>
      </c>
      <c r="F392" s="85">
        <f>TRUNC(26.33,2)</f>
        <v>26.33</v>
      </c>
      <c r="G392" s="205">
        <f t="shared" si="25"/>
        <v>956.01</v>
      </c>
    </row>
    <row r="393" spans="1:7" s="20" customFormat="1" ht="15.75">
      <c r="A393" s="113"/>
      <c r="B393" s="83" t="s">
        <v>243</v>
      </c>
      <c r="C393" s="84" t="s">
        <v>178</v>
      </c>
      <c r="D393" s="83" t="s">
        <v>128</v>
      </c>
      <c r="E393" s="83">
        <v>36.3089</v>
      </c>
      <c r="F393" s="85">
        <f>TRUNC(20.74,2)</f>
        <v>20.74</v>
      </c>
      <c r="G393" s="205">
        <f t="shared" si="25"/>
        <v>753.04</v>
      </c>
    </row>
    <row r="394" spans="1:7" s="20" customFormat="1" ht="45">
      <c r="A394" s="113"/>
      <c r="B394" s="83" t="s">
        <v>529</v>
      </c>
      <c r="C394" s="84" t="s">
        <v>530</v>
      </c>
      <c r="D394" s="83" t="s">
        <v>125</v>
      </c>
      <c r="E394" s="83">
        <v>31.7844</v>
      </c>
      <c r="F394" s="85">
        <f>TRUNC(13.4,2)</f>
        <v>13.4</v>
      </c>
      <c r="G394" s="205">
        <f t="shared" si="25"/>
        <v>425.91</v>
      </c>
    </row>
    <row r="395" spans="1:7" s="20" customFormat="1" ht="60">
      <c r="A395" s="113"/>
      <c r="B395" s="83" t="s">
        <v>531</v>
      </c>
      <c r="C395" s="84" t="s">
        <v>532</v>
      </c>
      <c r="D395" s="83" t="s">
        <v>132</v>
      </c>
      <c r="E395" s="83">
        <v>0.9211</v>
      </c>
      <c r="F395" s="85">
        <f>TRUNC(45.02,2)</f>
        <v>45.02</v>
      </c>
      <c r="G395" s="205">
        <f t="shared" si="25"/>
        <v>41.46</v>
      </c>
    </row>
    <row r="396" spans="1:7" s="20" customFormat="1" ht="30">
      <c r="A396" s="113"/>
      <c r="B396" s="83" t="s">
        <v>533</v>
      </c>
      <c r="C396" s="84" t="s">
        <v>534</v>
      </c>
      <c r="D396" s="83" t="s">
        <v>1</v>
      </c>
      <c r="E396" s="83">
        <v>0.0071</v>
      </c>
      <c r="F396" s="85">
        <f>TRUNC(318.7,2)</f>
        <v>318.7</v>
      </c>
      <c r="G396" s="205">
        <f t="shared" si="25"/>
        <v>2.26</v>
      </c>
    </row>
    <row r="397" spans="1:7" s="20" customFormat="1" ht="15.75">
      <c r="A397" s="113"/>
      <c r="B397" s="83" t="s">
        <v>535</v>
      </c>
      <c r="C397" s="84" t="s">
        <v>536</v>
      </c>
      <c r="D397" s="83" t="s">
        <v>1</v>
      </c>
      <c r="E397" s="83">
        <v>0.0598</v>
      </c>
      <c r="F397" s="85">
        <f>TRUNC(695.62,2)</f>
        <v>695.62</v>
      </c>
      <c r="G397" s="205">
        <f t="shared" si="25"/>
        <v>41.59</v>
      </c>
    </row>
    <row r="398" spans="1:7" s="20" customFormat="1" ht="30">
      <c r="A398" s="113"/>
      <c r="B398" s="83" t="s">
        <v>537</v>
      </c>
      <c r="C398" s="84" t="s">
        <v>538</v>
      </c>
      <c r="D398" s="83" t="s">
        <v>1</v>
      </c>
      <c r="E398" s="83">
        <v>0.1354</v>
      </c>
      <c r="F398" s="85">
        <f>TRUNC(660.3,2)</f>
        <v>660.3</v>
      </c>
      <c r="G398" s="205">
        <f t="shared" si="25"/>
        <v>89.4</v>
      </c>
    </row>
    <row r="399" spans="1:7" s="20" customFormat="1" ht="60">
      <c r="A399" s="113"/>
      <c r="B399" s="83" t="s">
        <v>539</v>
      </c>
      <c r="C399" s="84" t="s">
        <v>540</v>
      </c>
      <c r="D399" s="83" t="s">
        <v>133</v>
      </c>
      <c r="E399" s="83">
        <v>0.2738</v>
      </c>
      <c r="F399" s="85">
        <f>TRUNC(105.29,2)</f>
        <v>105.29</v>
      </c>
      <c r="G399" s="205">
        <f t="shared" si="25"/>
        <v>28.82</v>
      </c>
    </row>
    <row r="400" spans="1:7" s="20" customFormat="1" ht="30">
      <c r="A400" s="113"/>
      <c r="B400" s="83" t="s">
        <v>541</v>
      </c>
      <c r="C400" s="84" t="s">
        <v>542</v>
      </c>
      <c r="D400" s="83" t="s">
        <v>125</v>
      </c>
      <c r="E400" s="83">
        <v>5.4296</v>
      </c>
      <c r="F400" s="85">
        <f>TRUNC(6.07,2)</f>
        <v>6.07</v>
      </c>
      <c r="G400" s="205">
        <f t="shared" si="25"/>
        <v>32.95</v>
      </c>
    </row>
    <row r="401" spans="1:7" s="20" customFormat="1" ht="45">
      <c r="A401" s="113"/>
      <c r="B401" s="83" t="s">
        <v>543</v>
      </c>
      <c r="C401" s="84" t="s">
        <v>544</v>
      </c>
      <c r="D401" s="83" t="s">
        <v>1</v>
      </c>
      <c r="E401" s="83">
        <v>1.3068</v>
      </c>
      <c r="F401" s="85">
        <f>TRUNC(146.55,2)</f>
        <v>146.55</v>
      </c>
      <c r="G401" s="205">
        <f t="shared" si="25"/>
        <v>191.51</v>
      </c>
    </row>
    <row r="402" spans="1:7" s="20" customFormat="1" ht="30">
      <c r="A402" s="113"/>
      <c r="B402" s="83" t="s">
        <v>545</v>
      </c>
      <c r="C402" s="84" t="s">
        <v>546</v>
      </c>
      <c r="D402" s="83" t="s">
        <v>1</v>
      </c>
      <c r="E402" s="83">
        <v>1.1974</v>
      </c>
      <c r="F402" s="85">
        <f>TRUNC(284.42,2)</f>
        <v>284.42</v>
      </c>
      <c r="G402" s="205">
        <f t="shared" si="25"/>
        <v>340.56</v>
      </c>
    </row>
    <row r="403" spans="1:7" s="20" customFormat="1" ht="30">
      <c r="A403" s="113"/>
      <c r="B403" s="83" t="s">
        <v>547</v>
      </c>
      <c r="C403" s="84" t="s">
        <v>548</v>
      </c>
      <c r="D403" s="83" t="s">
        <v>1</v>
      </c>
      <c r="E403" s="83">
        <v>1.212</v>
      </c>
      <c r="F403" s="85">
        <f>TRUNC(402.58,2)</f>
        <v>402.58</v>
      </c>
      <c r="G403" s="205">
        <f t="shared" si="25"/>
        <v>487.92</v>
      </c>
    </row>
    <row r="404" spans="1:7" s="20" customFormat="1" ht="30">
      <c r="A404" s="113"/>
      <c r="B404" s="83" t="s">
        <v>549</v>
      </c>
      <c r="C404" s="84" t="s">
        <v>550</v>
      </c>
      <c r="D404" s="83" t="s">
        <v>1</v>
      </c>
      <c r="E404" s="83">
        <v>0.8216</v>
      </c>
      <c r="F404" s="85">
        <f>TRUNC(1120.97,2)</f>
        <v>1120.97</v>
      </c>
      <c r="G404" s="205">
        <f t="shared" si="25"/>
        <v>920.98</v>
      </c>
    </row>
    <row r="405" spans="1:7" s="20" customFormat="1" ht="30">
      <c r="A405" s="113"/>
      <c r="B405" s="83" t="s">
        <v>551</v>
      </c>
      <c r="C405" s="84" t="s">
        <v>552</v>
      </c>
      <c r="D405" s="83" t="s">
        <v>1</v>
      </c>
      <c r="E405" s="83">
        <v>0.0221</v>
      </c>
      <c r="F405" s="85">
        <f>TRUNC(3709.08,2)</f>
        <v>3709.08</v>
      </c>
      <c r="G405" s="205">
        <f t="shared" si="25"/>
        <v>81.97</v>
      </c>
    </row>
    <row r="406" spans="1:7" s="20" customFormat="1" ht="30">
      <c r="A406" s="113"/>
      <c r="B406" s="83" t="s">
        <v>553</v>
      </c>
      <c r="C406" s="84" t="s">
        <v>554</v>
      </c>
      <c r="D406" s="83" t="s">
        <v>125</v>
      </c>
      <c r="E406" s="83">
        <v>1.9744</v>
      </c>
      <c r="F406" s="85">
        <f>TRUNC(6.62,2)</f>
        <v>6.62</v>
      </c>
      <c r="G406" s="205">
        <f t="shared" si="25"/>
        <v>13.07</v>
      </c>
    </row>
    <row r="407" spans="1:7" s="20" customFormat="1" ht="15.75">
      <c r="A407" s="113"/>
      <c r="B407" s="83"/>
      <c r="C407" s="84"/>
      <c r="D407" s="83"/>
      <c r="E407" s="83" t="s">
        <v>3</v>
      </c>
      <c r="F407" s="85"/>
      <c r="G407" s="205">
        <f>TRUNC(SUM(G390:G406),2)</f>
        <v>4906.56</v>
      </c>
    </row>
    <row r="408" spans="1:7" s="20" customFormat="1" ht="31.5">
      <c r="A408" s="130" t="s">
        <v>565</v>
      </c>
      <c r="B408" s="131" t="s">
        <v>523</v>
      </c>
      <c r="C408" s="132" t="s">
        <v>524</v>
      </c>
      <c r="D408" s="131" t="s">
        <v>2</v>
      </c>
      <c r="E408" s="131">
        <f>2.4-1.45</f>
        <v>0.95</v>
      </c>
      <c r="F408" s="133">
        <f>G419</f>
        <v>2066.59</v>
      </c>
      <c r="G408" s="134">
        <f>E408*F408</f>
        <v>1963.2605</v>
      </c>
    </row>
    <row r="409" spans="1:7" s="20" customFormat="1" ht="15.75">
      <c r="A409" s="82"/>
      <c r="B409" s="83" t="s">
        <v>527</v>
      </c>
      <c r="C409" s="84" t="s">
        <v>528</v>
      </c>
      <c r="D409" s="83" t="s">
        <v>9</v>
      </c>
      <c r="E409" s="83">
        <v>23.1</v>
      </c>
      <c r="F409" s="85">
        <f>TRUNC(1.69,2)</f>
        <v>1.69</v>
      </c>
      <c r="G409" s="71">
        <f aca="true" t="shared" si="26" ref="G409:G418">TRUNC(E409*F409,2)</f>
        <v>39.03</v>
      </c>
    </row>
    <row r="410" spans="1:7" s="20" customFormat="1" ht="15.75">
      <c r="A410" s="82"/>
      <c r="B410" s="83" t="s">
        <v>525</v>
      </c>
      <c r="C410" s="84" t="s">
        <v>526</v>
      </c>
      <c r="D410" s="83" t="s">
        <v>9</v>
      </c>
      <c r="E410" s="83">
        <v>112.2267</v>
      </c>
      <c r="F410" s="85">
        <f>TRUNC(2.76,2)</f>
        <v>2.76</v>
      </c>
      <c r="G410" s="71">
        <f t="shared" si="26"/>
        <v>309.74</v>
      </c>
    </row>
    <row r="411" spans="1:7" s="20" customFormat="1" ht="15.75">
      <c r="A411" s="82"/>
      <c r="B411" s="83" t="s">
        <v>243</v>
      </c>
      <c r="C411" s="84" t="s">
        <v>178</v>
      </c>
      <c r="D411" s="83" t="s">
        <v>128</v>
      </c>
      <c r="E411" s="83">
        <v>28.3502</v>
      </c>
      <c r="F411" s="85">
        <f>TRUNC(20.74,2)</f>
        <v>20.74</v>
      </c>
      <c r="G411" s="71">
        <f t="shared" si="26"/>
        <v>587.98</v>
      </c>
    </row>
    <row r="412" spans="1:7" s="20" customFormat="1" ht="15.75">
      <c r="A412" s="82"/>
      <c r="B412" s="83" t="s">
        <v>250</v>
      </c>
      <c r="C412" s="84" t="s">
        <v>251</v>
      </c>
      <c r="D412" s="83" t="s">
        <v>128</v>
      </c>
      <c r="E412" s="83">
        <v>28.3502</v>
      </c>
      <c r="F412" s="85">
        <f>TRUNC(26.33,2)</f>
        <v>26.33</v>
      </c>
      <c r="G412" s="71">
        <f t="shared" si="26"/>
        <v>746.46</v>
      </c>
    </row>
    <row r="413" spans="1:7" s="20" customFormat="1" ht="30">
      <c r="A413" s="82"/>
      <c r="B413" s="83" t="s">
        <v>547</v>
      </c>
      <c r="C413" s="84" t="s">
        <v>548</v>
      </c>
      <c r="D413" s="83" t="s">
        <v>1</v>
      </c>
      <c r="E413" s="83">
        <v>0.6586</v>
      </c>
      <c r="F413" s="85">
        <f>TRUNC(402.58,2)</f>
        <v>402.58</v>
      </c>
      <c r="G413" s="71">
        <f t="shared" si="26"/>
        <v>265.13</v>
      </c>
    </row>
    <row r="414" spans="1:7" s="20" customFormat="1" ht="30">
      <c r="A414" s="82"/>
      <c r="B414" s="83" t="s">
        <v>541</v>
      </c>
      <c r="C414" s="84" t="s">
        <v>542</v>
      </c>
      <c r="D414" s="83" t="s">
        <v>125</v>
      </c>
      <c r="E414" s="83">
        <v>2.7148</v>
      </c>
      <c r="F414" s="85">
        <f>TRUNC(6.07,2)</f>
        <v>6.07</v>
      </c>
      <c r="G414" s="71">
        <f t="shared" si="26"/>
        <v>16.47</v>
      </c>
    </row>
    <row r="415" spans="1:7" s="20" customFormat="1" ht="30">
      <c r="A415" s="82"/>
      <c r="B415" s="83" t="s">
        <v>553</v>
      </c>
      <c r="C415" s="84" t="s">
        <v>554</v>
      </c>
      <c r="D415" s="83" t="s">
        <v>125</v>
      </c>
      <c r="E415" s="83">
        <v>1.9744</v>
      </c>
      <c r="F415" s="85">
        <f>TRUNC(6.62,2)</f>
        <v>6.62</v>
      </c>
      <c r="G415" s="71">
        <f t="shared" si="26"/>
        <v>13.07</v>
      </c>
    </row>
    <row r="416" spans="1:7" s="20" customFormat="1" ht="30">
      <c r="A416" s="82"/>
      <c r="B416" s="83" t="s">
        <v>537</v>
      </c>
      <c r="C416" s="84" t="s">
        <v>538</v>
      </c>
      <c r="D416" s="83" t="s">
        <v>1</v>
      </c>
      <c r="E416" s="83">
        <v>0.0677</v>
      </c>
      <c r="F416" s="85">
        <f>TRUNC(660.3,2)</f>
        <v>660.3</v>
      </c>
      <c r="G416" s="71">
        <f t="shared" si="26"/>
        <v>44.7</v>
      </c>
    </row>
    <row r="417" spans="1:7" s="20" customFormat="1" ht="15.75">
      <c r="A417" s="82"/>
      <c r="B417" s="83" t="s">
        <v>535</v>
      </c>
      <c r="C417" s="84" t="s">
        <v>536</v>
      </c>
      <c r="D417" s="83" t="s">
        <v>1</v>
      </c>
      <c r="E417" s="83">
        <v>0.0598</v>
      </c>
      <c r="F417" s="85">
        <f>TRUNC(695.62,2)</f>
        <v>695.62</v>
      </c>
      <c r="G417" s="71">
        <f t="shared" si="26"/>
        <v>41.59</v>
      </c>
    </row>
    <row r="418" spans="1:7" s="20" customFormat="1" ht="30">
      <c r="A418" s="82"/>
      <c r="B418" s="83" t="s">
        <v>533</v>
      </c>
      <c r="C418" s="84" t="s">
        <v>534</v>
      </c>
      <c r="D418" s="83" t="s">
        <v>1</v>
      </c>
      <c r="E418" s="83">
        <v>0.0076</v>
      </c>
      <c r="F418" s="85">
        <f>TRUNC(318.7,2)</f>
        <v>318.7</v>
      </c>
      <c r="G418" s="71">
        <f t="shared" si="26"/>
        <v>2.42</v>
      </c>
    </row>
    <row r="419" spans="1:7" s="20" customFormat="1" ht="15.75">
      <c r="A419" s="82"/>
      <c r="B419" s="83"/>
      <c r="C419" s="84"/>
      <c r="D419" s="83"/>
      <c r="E419" s="83" t="s">
        <v>3</v>
      </c>
      <c r="F419" s="85"/>
      <c r="G419" s="71">
        <f>TRUNC(SUM(G409:G418),2)</f>
        <v>2066.59</v>
      </c>
    </row>
    <row r="420" spans="1:7" s="20" customFormat="1" ht="30">
      <c r="A420" s="31" t="s">
        <v>429</v>
      </c>
      <c r="B420" s="98" t="s">
        <v>601</v>
      </c>
      <c r="C420" s="87" t="s">
        <v>604</v>
      </c>
      <c r="D420" s="86" t="s">
        <v>9</v>
      </c>
      <c r="E420" s="99"/>
      <c r="F420" s="100">
        <f>TRUNC(G421+G440,2)</f>
        <v>7696.45</v>
      </c>
      <c r="G420" s="73">
        <f>TRUNC((E420*F420),2)</f>
        <v>0</v>
      </c>
    </row>
    <row r="421" spans="1:7" s="20" customFormat="1" ht="47.25">
      <c r="A421" s="206" t="s">
        <v>446</v>
      </c>
      <c r="B421" s="131" t="s">
        <v>521</v>
      </c>
      <c r="C421" s="132" t="s">
        <v>522</v>
      </c>
      <c r="D421" s="131" t="s">
        <v>9</v>
      </c>
      <c r="E421" s="131">
        <v>1</v>
      </c>
      <c r="F421" s="133">
        <f>G439</f>
        <v>4906.56</v>
      </c>
      <c r="G421" s="207">
        <f aca="true" t="shared" si="27" ref="G421:G438">TRUNC(E421*F421,2)</f>
        <v>4906.56</v>
      </c>
    </row>
    <row r="422" spans="1:7" s="20" customFormat="1" ht="15.75">
      <c r="A422" s="113"/>
      <c r="B422" s="83" t="s">
        <v>525</v>
      </c>
      <c r="C422" s="84" t="s">
        <v>526</v>
      </c>
      <c r="D422" s="83" t="s">
        <v>9</v>
      </c>
      <c r="E422" s="83">
        <v>152.5539</v>
      </c>
      <c r="F422" s="85">
        <f>TRUNC(2.76,2)</f>
        <v>2.76</v>
      </c>
      <c r="G422" s="205">
        <f t="shared" si="27"/>
        <v>421.04</v>
      </c>
    </row>
    <row r="423" spans="1:7" s="20" customFormat="1" ht="15.75">
      <c r="A423" s="113"/>
      <c r="B423" s="83" t="s">
        <v>527</v>
      </c>
      <c r="C423" s="84" t="s">
        <v>528</v>
      </c>
      <c r="D423" s="83" t="s">
        <v>9</v>
      </c>
      <c r="E423" s="83">
        <v>46.2</v>
      </c>
      <c r="F423" s="85">
        <f>TRUNC(1.69,2)</f>
        <v>1.69</v>
      </c>
      <c r="G423" s="205">
        <f t="shared" si="27"/>
        <v>78.07</v>
      </c>
    </row>
    <row r="424" spans="1:7" s="20" customFormat="1" ht="15.75">
      <c r="A424" s="113"/>
      <c r="B424" s="83" t="s">
        <v>250</v>
      </c>
      <c r="C424" s="84" t="s">
        <v>251</v>
      </c>
      <c r="D424" s="83" t="s">
        <v>128</v>
      </c>
      <c r="E424" s="83">
        <v>36.3089</v>
      </c>
      <c r="F424" s="85">
        <f>TRUNC(26.33,2)</f>
        <v>26.33</v>
      </c>
      <c r="G424" s="205">
        <f t="shared" si="27"/>
        <v>956.01</v>
      </c>
    </row>
    <row r="425" spans="1:7" s="20" customFormat="1" ht="15.75">
      <c r="A425" s="113"/>
      <c r="B425" s="83" t="s">
        <v>243</v>
      </c>
      <c r="C425" s="84" t="s">
        <v>178</v>
      </c>
      <c r="D425" s="83" t="s">
        <v>128</v>
      </c>
      <c r="E425" s="83">
        <v>36.3089</v>
      </c>
      <c r="F425" s="85">
        <f>TRUNC(20.74,2)</f>
        <v>20.74</v>
      </c>
      <c r="G425" s="205">
        <f t="shared" si="27"/>
        <v>753.04</v>
      </c>
    </row>
    <row r="426" spans="1:7" s="20" customFormat="1" ht="45">
      <c r="A426" s="113"/>
      <c r="B426" s="83" t="s">
        <v>529</v>
      </c>
      <c r="C426" s="84" t="s">
        <v>530</v>
      </c>
      <c r="D426" s="83" t="s">
        <v>125</v>
      </c>
      <c r="E426" s="83">
        <v>31.7844</v>
      </c>
      <c r="F426" s="85">
        <f>TRUNC(13.4,2)</f>
        <v>13.4</v>
      </c>
      <c r="G426" s="205">
        <f t="shared" si="27"/>
        <v>425.91</v>
      </c>
    </row>
    <row r="427" spans="1:7" s="20" customFormat="1" ht="60">
      <c r="A427" s="113"/>
      <c r="B427" s="83" t="s">
        <v>531</v>
      </c>
      <c r="C427" s="84" t="s">
        <v>532</v>
      </c>
      <c r="D427" s="83" t="s">
        <v>132</v>
      </c>
      <c r="E427" s="83">
        <v>0.9211</v>
      </c>
      <c r="F427" s="85">
        <f>TRUNC(45.02,2)</f>
        <v>45.02</v>
      </c>
      <c r="G427" s="205">
        <f t="shared" si="27"/>
        <v>41.46</v>
      </c>
    </row>
    <row r="428" spans="1:7" s="20" customFormat="1" ht="30">
      <c r="A428" s="113"/>
      <c r="B428" s="83" t="s">
        <v>533</v>
      </c>
      <c r="C428" s="84" t="s">
        <v>534</v>
      </c>
      <c r="D428" s="83" t="s">
        <v>1</v>
      </c>
      <c r="E428" s="83">
        <v>0.0071</v>
      </c>
      <c r="F428" s="85">
        <f>TRUNC(318.7,2)</f>
        <v>318.7</v>
      </c>
      <c r="G428" s="205">
        <f t="shared" si="27"/>
        <v>2.26</v>
      </c>
    </row>
    <row r="429" spans="1:7" s="20" customFormat="1" ht="15.75">
      <c r="A429" s="113"/>
      <c r="B429" s="83" t="s">
        <v>535</v>
      </c>
      <c r="C429" s="84" t="s">
        <v>536</v>
      </c>
      <c r="D429" s="83" t="s">
        <v>1</v>
      </c>
      <c r="E429" s="83">
        <v>0.0598</v>
      </c>
      <c r="F429" s="85">
        <f>TRUNC(695.62,2)</f>
        <v>695.62</v>
      </c>
      <c r="G429" s="205">
        <f t="shared" si="27"/>
        <v>41.59</v>
      </c>
    </row>
    <row r="430" spans="1:7" s="20" customFormat="1" ht="30">
      <c r="A430" s="113"/>
      <c r="B430" s="83" t="s">
        <v>537</v>
      </c>
      <c r="C430" s="84" t="s">
        <v>538</v>
      </c>
      <c r="D430" s="83" t="s">
        <v>1</v>
      </c>
      <c r="E430" s="83">
        <v>0.1354</v>
      </c>
      <c r="F430" s="85">
        <f>TRUNC(660.3,2)</f>
        <v>660.3</v>
      </c>
      <c r="G430" s="205">
        <f t="shared" si="27"/>
        <v>89.4</v>
      </c>
    </row>
    <row r="431" spans="1:7" s="20" customFormat="1" ht="60">
      <c r="A431" s="113"/>
      <c r="B431" s="83" t="s">
        <v>539</v>
      </c>
      <c r="C431" s="84" t="s">
        <v>540</v>
      </c>
      <c r="D431" s="83" t="s">
        <v>133</v>
      </c>
      <c r="E431" s="83">
        <v>0.2738</v>
      </c>
      <c r="F431" s="85">
        <f>TRUNC(105.29,2)</f>
        <v>105.29</v>
      </c>
      <c r="G431" s="205">
        <f t="shared" si="27"/>
        <v>28.82</v>
      </c>
    </row>
    <row r="432" spans="1:7" s="20" customFormat="1" ht="30">
      <c r="A432" s="113"/>
      <c r="B432" s="83" t="s">
        <v>541</v>
      </c>
      <c r="C432" s="84" t="s">
        <v>542</v>
      </c>
      <c r="D432" s="83" t="s">
        <v>125</v>
      </c>
      <c r="E432" s="83">
        <v>5.4296</v>
      </c>
      <c r="F432" s="85">
        <f>TRUNC(6.07,2)</f>
        <v>6.07</v>
      </c>
      <c r="G432" s="205">
        <f t="shared" si="27"/>
        <v>32.95</v>
      </c>
    </row>
    <row r="433" spans="1:7" s="20" customFormat="1" ht="45">
      <c r="A433" s="113"/>
      <c r="B433" s="83" t="s">
        <v>543</v>
      </c>
      <c r="C433" s="84" t="s">
        <v>544</v>
      </c>
      <c r="D433" s="83" t="s">
        <v>1</v>
      </c>
      <c r="E433" s="83">
        <v>1.3068</v>
      </c>
      <c r="F433" s="85">
        <f>TRUNC(146.55,2)</f>
        <v>146.55</v>
      </c>
      <c r="G433" s="205">
        <f t="shared" si="27"/>
        <v>191.51</v>
      </c>
    </row>
    <row r="434" spans="1:7" s="20" customFormat="1" ht="30">
      <c r="A434" s="113"/>
      <c r="B434" s="83" t="s">
        <v>545</v>
      </c>
      <c r="C434" s="84" t="s">
        <v>546</v>
      </c>
      <c r="D434" s="83" t="s">
        <v>1</v>
      </c>
      <c r="E434" s="83">
        <v>1.1974</v>
      </c>
      <c r="F434" s="85">
        <f>TRUNC(284.42,2)</f>
        <v>284.42</v>
      </c>
      <c r="G434" s="205">
        <f t="shared" si="27"/>
        <v>340.56</v>
      </c>
    </row>
    <row r="435" spans="1:7" s="20" customFormat="1" ht="30">
      <c r="A435" s="113"/>
      <c r="B435" s="83" t="s">
        <v>547</v>
      </c>
      <c r="C435" s="84" t="s">
        <v>548</v>
      </c>
      <c r="D435" s="83" t="s">
        <v>1</v>
      </c>
      <c r="E435" s="83">
        <v>1.212</v>
      </c>
      <c r="F435" s="85">
        <f>TRUNC(402.58,2)</f>
        <v>402.58</v>
      </c>
      <c r="G435" s="205">
        <f t="shared" si="27"/>
        <v>487.92</v>
      </c>
    </row>
    <row r="436" spans="1:7" s="20" customFormat="1" ht="30">
      <c r="A436" s="113"/>
      <c r="B436" s="83" t="s">
        <v>549</v>
      </c>
      <c r="C436" s="84" t="s">
        <v>550</v>
      </c>
      <c r="D436" s="83" t="s">
        <v>1</v>
      </c>
      <c r="E436" s="83">
        <v>0.8216</v>
      </c>
      <c r="F436" s="85">
        <f>TRUNC(1120.97,2)</f>
        <v>1120.97</v>
      </c>
      <c r="G436" s="205">
        <f t="shared" si="27"/>
        <v>920.98</v>
      </c>
    </row>
    <row r="437" spans="1:7" s="20" customFormat="1" ht="30">
      <c r="A437" s="113"/>
      <c r="B437" s="83" t="s">
        <v>551</v>
      </c>
      <c r="C437" s="84" t="s">
        <v>552</v>
      </c>
      <c r="D437" s="83" t="s">
        <v>1</v>
      </c>
      <c r="E437" s="83">
        <v>0.0221</v>
      </c>
      <c r="F437" s="85">
        <f>TRUNC(3709.08,2)</f>
        <v>3709.08</v>
      </c>
      <c r="G437" s="205">
        <f t="shared" si="27"/>
        <v>81.97</v>
      </c>
    </row>
    <row r="438" spans="1:7" s="20" customFormat="1" ht="30">
      <c r="A438" s="113"/>
      <c r="B438" s="83" t="s">
        <v>553</v>
      </c>
      <c r="C438" s="84" t="s">
        <v>554</v>
      </c>
      <c r="D438" s="83" t="s">
        <v>125</v>
      </c>
      <c r="E438" s="83">
        <v>1.9744</v>
      </c>
      <c r="F438" s="85">
        <f>TRUNC(6.62,2)</f>
        <v>6.62</v>
      </c>
      <c r="G438" s="205">
        <f t="shared" si="27"/>
        <v>13.07</v>
      </c>
    </row>
    <row r="439" spans="1:7" s="20" customFormat="1" ht="15.75">
      <c r="A439" s="113"/>
      <c r="B439" s="83"/>
      <c r="C439" s="84"/>
      <c r="D439" s="83"/>
      <c r="E439" s="83" t="s">
        <v>3</v>
      </c>
      <c r="F439" s="85"/>
      <c r="G439" s="205">
        <f>TRUNC(SUM(G422:G438),2)</f>
        <v>4906.56</v>
      </c>
    </row>
    <row r="440" spans="1:7" s="20" customFormat="1" ht="31.5">
      <c r="A440" s="130" t="s">
        <v>565</v>
      </c>
      <c r="B440" s="131" t="s">
        <v>523</v>
      </c>
      <c r="C440" s="132" t="s">
        <v>524</v>
      </c>
      <c r="D440" s="131" t="s">
        <v>2</v>
      </c>
      <c r="E440" s="131">
        <f>2.8-1.45</f>
        <v>1.3499999999999999</v>
      </c>
      <c r="F440" s="133">
        <f>G451</f>
        <v>2066.59</v>
      </c>
      <c r="G440" s="134">
        <f>E440*F440</f>
        <v>2789.8965</v>
      </c>
    </row>
    <row r="441" spans="1:7" s="20" customFormat="1" ht="15.75">
      <c r="A441" s="82"/>
      <c r="B441" s="83" t="s">
        <v>527</v>
      </c>
      <c r="C441" s="84" t="s">
        <v>528</v>
      </c>
      <c r="D441" s="83" t="s">
        <v>9</v>
      </c>
      <c r="E441" s="83">
        <v>23.1</v>
      </c>
      <c r="F441" s="85">
        <f>TRUNC(1.69,2)</f>
        <v>1.69</v>
      </c>
      <c r="G441" s="71">
        <f aca="true" t="shared" si="28" ref="G441:G450">TRUNC(E441*F441,2)</f>
        <v>39.03</v>
      </c>
    </row>
    <row r="442" spans="1:7" s="20" customFormat="1" ht="15.75">
      <c r="A442" s="82"/>
      <c r="B442" s="83" t="s">
        <v>525</v>
      </c>
      <c r="C442" s="84" t="s">
        <v>526</v>
      </c>
      <c r="D442" s="83" t="s">
        <v>9</v>
      </c>
      <c r="E442" s="83">
        <v>112.2267</v>
      </c>
      <c r="F442" s="85">
        <f>TRUNC(2.76,2)</f>
        <v>2.76</v>
      </c>
      <c r="G442" s="71">
        <f t="shared" si="28"/>
        <v>309.74</v>
      </c>
    </row>
    <row r="443" spans="1:7" s="20" customFormat="1" ht="15.75">
      <c r="A443" s="82"/>
      <c r="B443" s="83" t="s">
        <v>243</v>
      </c>
      <c r="C443" s="84" t="s">
        <v>178</v>
      </c>
      <c r="D443" s="83" t="s">
        <v>128</v>
      </c>
      <c r="E443" s="83">
        <v>28.3502</v>
      </c>
      <c r="F443" s="85">
        <f>TRUNC(20.74,2)</f>
        <v>20.74</v>
      </c>
      <c r="G443" s="71">
        <f t="shared" si="28"/>
        <v>587.98</v>
      </c>
    </row>
    <row r="444" spans="1:7" s="20" customFormat="1" ht="15.75">
      <c r="A444" s="82"/>
      <c r="B444" s="83" t="s">
        <v>250</v>
      </c>
      <c r="C444" s="84" t="s">
        <v>251</v>
      </c>
      <c r="D444" s="83" t="s">
        <v>128</v>
      </c>
      <c r="E444" s="83">
        <v>28.3502</v>
      </c>
      <c r="F444" s="85">
        <f>TRUNC(26.33,2)</f>
        <v>26.33</v>
      </c>
      <c r="G444" s="71">
        <f t="shared" si="28"/>
        <v>746.46</v>
      </c>
    </row>
    <row r="445" spans="1:7" s="20" customFormat="1" ht="30">
      <c r="A445" s="82"/>
      <c r="B445" s="83" t="s">
        <v>547</v>
      </c>
      <c r="C445" s="84" t="s">
        <v>548</v>
      </c>
      <c r="D445" s="83" t="s">
        <v>1</v>
      </c>
      <c r="E445" s="83">
        <v>0.6586</v>
      </c>
      <c r="F445" s="85">
        <f>TRUNC(402.58,2)</f>
        <v>402.58</v>
      </c>
      <c r="G445" s="71">
        <f t="shared" si="28"/>
        <v>265.13</v>
      </c>
    </row>
    <row r="446" spans="1:7" s="20" customFormat="1" ht="30">
      <c r="A446" s="82"/>
      <c r="B446" s="83" t="s">
        <v>541</v>
      </c>
      <c r="C446" s="84" t="s">
        <v>542</v>
      </c>
      <c r="D446" s="83" t="s">
        <v>125</v>
      </c>
      <c r="E446" s="83">
        <v>2.7148</v>
      </c>
      <c r="F446" s="85">
        <f>TRUNC(6.07,2)</f>
        <v>6.07</v>
      </c>
      <c r="G446" s="71">
        <f t="shared" si="28"/>
        <v>16.47</v>
      </c>
    </row>
    <row r="447" spans="1:7" s="20" customFormat="1" ht="30">
      <c r="A447" s="82"/>
      <c r="B447" s="83" t="s">
        <v>553</v>
      </c>
      <c r="C447" s="84" t="s">
        <v>554</v>
      </c>
      <c r="D447" s="83" t="s">
        <v>125</v>
      </c>
      <c r="E447" s="83">
        <v>1.9744</v>
      </c>
      <c r="F447" s="85">
        <f>TRUNC(6.62,2)</f>
        <v>6.62</v>
      </c>
      <c r="G447" s="71">
        <f t="shared" si="28"/>
        <v>13.07</v>
      </c>
    </row>
    <row r="448" spans="1:7" s="20" customFormat="1" ht="30">
      <c r="A448" s="82"/>
      <c r="B448" s="83" t="s">
        <v>537</v>
      </c>
      <c r="C448" s="84" t="s">
        <v>538</v>
      </c>
      <c r="D448" s="83" t="s">
        <v>1</v>
      </c>
      <c r="E448" s="83">
        <v>0.0677</v>
      </c>
      <c r="F448" s="85">
        <f>TRUNC(660.3,2)</f>
        <v>660.3</v>
      </c>
      <c r="G448" s="71">
        <f t="shared" si="28"/>
        <v>44.7</v>
      </c>
    </row>
    <row r="449" spans="1:7" s="20" customFormat="1" ht="15.75">
      <c r="A449" s="82"/>
      <c r="B449" s="83" t="s">
        <v>535</v>
      </c>
      <c r="C449" s="84" t="s">
        <v>536</v>
      </c>
      <c r="D449" s="83" t="s">
        <v>1</v>
      </c>
      <c r="E449" s="83">
        <v>0.0598</v>
      </c>
      <c r="F449" s="85">
        <f>TRUNC(695.62,2)</f>
        <v>695.62</v>
      </c>
      <c r="G449" s="71">
        <f t="shared" si="28"/>
        <v>41.59</v>
      </c>
    </row>
    <row r="450" spans="1:7" s="20" customFormat="1" ht="30">
      <c r="A450" s="82"/>
      <c r="B450" s="83" t="s">
        <v>533</v>
      </c>
      <c r="C450" s="84" t="s">
        <v>534</v>
      </c>
      <c r="D450" s="83" t="s">
        <v>1</v>
      </c>
      <c r="E450" s="83">
        <v>0.0076</v>
      </c>
      <c r="F450" s="85">
        <f>TRUNC(318.7,2)</f>
        <v>318.7</v>
      </c>
      <c r="G450" s="71">
        <f t="shared" si="28"/>
        <v>2.42</v>
      </c>
    </row>
    <row r="451" spans="1:7" s="20" customFormat="1" ht="15.75">
      <c r="A451" s="82"/>
      <c r="B451" s="83"/>
      <c r="C451" s="84"/>
      <c r="D451" s="83"/>
      <c r="E451" s="83" t="s">
        <v>3</v>
      </c>
      <c r="F451" s="85"/>
      <c r="G451" s="71">
        <f>TRUNC(SUM(G441:G450),2)</f>
        <v>2066.59</v>
      </c>
    </row>
    <row r="452" spans="1:7" s="20" customFormat="1" ht="30">
      <c r="A452" s="31" t="s">
        <v>431</v>
      </c>
      <c r="B452" s="98" t="s">
        <v>601</v>
      </c>
      <c r="C452" s="87" t="s">
        <v>606</v>
      </c>
      <c r="D452" s="86" t="s">
        <v>9</v>
      </c>
      <c r="E452" s="99"/>
      <c r="F452" s="100">
        <f>TRUNC(G453+G472,2)</f>
        <v>8109.77</v>
      </c>
      <c r="G452" s="73">
        <f>TRUNC((E452*F452),2)</f>
        <v>0</v>
      </c>
    </row>
    <row r="453" spans="1:7" s="20" customFormat="1" ht="47.25">
      <c r="A453" s="206" t="s">
        <v>446</v>
      </c>
      <c r="B453" s="131" t="s">
        <v>521</v>
      </c>
      <c r="C453" s="132" t="s">
        <v>522</v>
      </c>
      <c r="D453" s="131" t="s">
        <v>9</v>
      </c>
      <c r="E453" s="131">
        <v>1</v>
      </c>
      <c r="F453" s="133">
        <f>G471</f>
        <v>4906.56</v>
      </c>
      <c r="G453" s="207">
        <f aca="true" t="shared" si="29" ref="G453:G470">TRUNC(E453*F453,2)</f>
        <v>4906.56</v>
      </c>
    </row>
    <row r="454" spans="1:7" s="20" customFormat="1" ht="15.75">
      <c r="A454" s="113"/>
      <c r="B454" s="83" t="s">
        <v>525</v>
      </c>
      <c r="C454" s="84" t="s">
        <v>526</v>
      </c>
      <c r="D454" s="83" t="s">
        <v>9</v>
      </c>
      <c r="E454" s="83">
        <v>152.5539</v>
      </c>
      <c r="F454" s="85">
        <f>TRUNC(2.76,2)</f>
        <v>2.76</v>
      </c>
      <c r="G454" s="205">
        <f t="shared" si="29"/>
        <v>421.04</v>
      </c>
    </row>
    <row r="455" spans="1:7" s="20" customFormat="1" ht="15.75">
      <c r="A455" s="113"/>
      <c r="B455" s="83" t="s">
        <v>527</v>
      </c>
      <c r="C455" s="84" t="s">
        <v>528</v>
      </c>
      <c r="D455" s="83" t="s">
        <v>9</v>
      </c>
      <c r="E455" s="83">
        <v>46.2</v>
      </c>
      <c r="F455" s="85">
        <f>TRUNC(1.69,2)</f>
        <v>1.69</v>
      </c>
      <c r="G455" s="205">
        <f t="shared" si="29"/>
        <v>78.07</v>
      </c>
    </row>
    <row r="456" spans="1:7" s="20" customFormat="1" ht="15.75">
      <c r="A456" s="113"/>
      <c r="B456" s="83" t="s">
        <v>250</v>
      </c>
      <c r="C456" s="84" t="s">
        <v>251</v>
      </c>
      <c r="D456" s="83" t="s">
        <v>128</v>
      </c>
      <c r="E456" s="83">
        <v>36.3089</v>
      </c>
      <c r="F456" s="85">
        <f>TRUNC(26.33,2)</f>
        <v>26.33</v>
      </c>
      <c r="G456" s="205">
        <f t="shared" si="29"/>
        <v>956.01</v>
      </c>
    </row>
    <row r="457" spans="1:7" s="20" customFormat="1" ht="15.75">
      <c r="A457" s="113"/>
      <c r="B457" s="83" t="s">
        <v>243</v>
      </c>
      <c r="C457" s="84" t="s">
        <v>178</v>
      </c>
      <c r="D457" s="83" t="s">
        <v>128</v>
      </c>
      <c r="E457" s="83">
        <v>36.3089</v>
      </c>
      <c r="F457" s="85">
        <f>TRUNC(20.74,2)</f>
        <v>20.74</v>
      </c>
      <c r="G457" s="205">
        <f t="shared" si="29"/>
        <v>753.04</v>
      </c>
    </row>
    <row r="458" spans="1:7" s="20" customFormat="1" ht="45">
      <c r="A458" s="113"/>
      <c r="B458" s="83" t="s">
        <v>529</v>
      </c>
      <c r="C458" s="84" t="s">
        <v>530</v>
      </c>
      <c r="D458" s="83" t="s">
        <v>125</v>
      </c>
      <c r="E458" s="83">
        <v>31.7844</v>
      </c>
      <c r="F458" s="85">
        <f>TRUNC(13.4,2)</f>
        <v>13.4</v>
      </c>
      <c r="G458" s="205">
        <f t="shared" si="29"/>
        <v>425.91</v>
      </c>
    </row>
    <row r="459" spans="1:7" s="20" customFormat="1" ht="60">
      <c r="A459" s="113"/>
      <c r="B459" s="83" t="s">
        <v>531</v>
      </c>
      <c r="C459" s="84" t="s">
        <v>532</v>
      </c>
      <c r="D459" s="83" t="s">
        <v>132</v>
      </c>
      <c r="E459" s="83">
        <v>0.9211</v>
      </c>
      <c r="F459" s="85">
        <f>TRUNC(45.02,2)</f>
        <v>45.02</v>
      </c>
      <c r="G459" s="205">
        <f t="shared" si="29"/>
        <v>41.46</v>
      </c>
    </row>
    <row r="460" spans="1:7" s="20" customFormat="1" ht="30">
      <c r="A460" s="113"/>
      <c r="B460" s="83" t="s">
        <v>533</v>
      </c>
      <c r="C460" s="84" t="s">
        <v>534</v>
      </c>
      <c r="D460" s="83" t="s">
        <v>1</v>
      </c>
      <c r="E460" s="83">
        <v>0.0071</v>
      </c>
      <c r="F460" s="85">
        <f>TRUNC(318.7,2)</f>
        <v>318.7</v>
      </c>
      <c r="G460" s="205">
        <f t="shared" si="29"/>
        <v>2.26</v>
      </c>
    </row>
    <row r="461" spans="1:7" s="20" customFormat="1" ht="15.75">
      <c r="A461" s="113"/>
      <c r="B461" s="83" t="s">
        <v>535</v>
      </c>
      <c r="C461" s="84" t="s">
        <v>536</v>
      </c>
      <c r="D461" s="83" t="s">
        <v>1</v>
      </c>
      <c r="E461" s="83">
        <v>0.0598</v>
      </c>
      <c r="F461" s="85">
        <f>TRUNC(695.62,2)</f>
        <v>695.62</v>
      </c>
      <c r="G461" s="205">
        <f t="shared" si="29"/>
        <v>41.59</v>
      </c>
    </row>
    <row r="462" spans="1:7" s="20" customFormat="1" ht="30">
      <c r="A462" s="113"/>
      <c r="B462" s="83" t="s">
        <v>537</v>
      </c>
      <c r="C462" s="84" t="s">
        <v>538</v>
      </c>
      <c r="D462" s="83" t="s">
        <v>1</v>
      </c>
      <c r="E462" s="83">
        <v>0.1354</v>
      </c>
      <c r="F462" s="85">
        <f>TRUNC(660.3,2)</f>
        <v>660.3</v>
      </c>
      <c r="G462" s="205">
        <f t="shared" si="29"/>
        <v>89.4</v>
      </c>
    </row>
    <row r="463" spans="1:7" s="20" customFormat="1" ht="60">
      <c r="A463" s="113"/>
      <c r="B463" s="83" t="s">
        <v>539</v>
      </c>
      <c r="C463" s="84" t="s">
        <v>540</v>
      </c>
      <c r="D463" s="83" t="s">
        <v>133</v>
      </c>
      <c r="E463" s="83">
        <v>0.2738</v>
      </c>
      <c r="F463" s="85">
        <f>TRUNC(105.29,2)</f>
        <v>105.29</v>
      </c>
      <c r="G463" s="205">
        <f t="shared" si="29"/>
        <v>28.82</v>
      </c>
    </row>
    <row r="464" spans="1:7" s="20" customFormat="1" ht="30">
      <c r="A464" s="113"/>
      <c r="B464" s="83" t="s">
        <v>541</v>
      </c>
      <c r="C464" s="84" t="s">
        <v>542</v>
      </c>
      <c r="D464" s="83" t="s">
        <v>125</v>
      </c>
      <c r="E464" s="83">
        <v>5.4296</v>
      </c>
      <c r="F464" s="85">
        <f>TRUNC(6.07,2)</f>
        <v>6.07</v>
      </c>
      <c r="G464" s="205">
        <f t="shared" si="29"/>
        <v>32.95</v>
      </c>
    </row>
    <row r="465" spans="1:7" s="20" customFormat="1" ht="45">
      <c r="A465" s="113"/>
      <c r="B465" s="83" t="s">
        <v>543</v>
      </c>
      <c r="C465" s="84" t="s">
        <v>544</v>
      </c>
      <c r="D465" s="83" t="s">
        <v>1</v>
      </c>
      <c r="E465" s="83">
        <v>1.3068</v>
      </c>
      <c r="F465" s="85">
        <f>TRUNC(146.55,2)</f>
        <v>146.55</v>
      </c>
      <c r="G465" s="205">
        <f t="shared" si="29"/>
        <v>191.51</v>
      </c>
    </row>
    <row r="466" spans="1:7" s="20" customFormat="1" ht="30">
      <c r="A466" s="113"/>
      <c r="B466" s="83" t="s">
        <v>545</v>
      </c>
      <c r="C466" s="84" t="s">
        <v>546</v>
      </c>
      <c r="D466" s="83" t="s">
        <v>1</v>
      </c>
      <c r="E466" s="83">
        <v>1.1974</v>
      </c>
      <c r="F466" s="85">
        <f>TRUNC(284.42,2)</f>
        <v>284.42</v>
      </c>
      <c r="G466" s="205">
        <f t="shared" si="29"/>
        <v>340.56</v>
      </c>
    </row>
    <row r="467" spans="1:7" s="20" customFormat="1" ht="30">
      <c r="A467" s="113"/>
      <c r="B467" s="83" t="s">
        <v>547</v>
      </c>
      <c r="C467" s="84" t="s">
        <v>548</v>
      </c>
      <c r="D467" s="83" t="s">
        <v>1</v>
      </c>
      <c r="E467" s="83">
        <v>1.212</v>
      </c>
      <c r="F467" s="85">
        <f>TRUNC(402.58,2)</f>
        <v>402.58</v>
      </c>
      <c r="G467" s="205">
        <f t="shared" si="29"/>
        <v>487.92</v>
      </c>
    </row>
    <row r="468" spans="1:7" s="20" customFormat="1" ht="30">
      <c r="A468" s="113"/>
      <c r="B468" s="83" t="s">
        <v>549</v>
      </c>
      <c r="C468" s="84" t="s">
        <v>550</v>
      </c>
      <c r="D468" s="83" t="s">
        <v>1</v>
      </c>
      <c r="E468" s="83">
        <v>0.8216</v>
      </c>
      <c r="F468" s="85">
        <f>TRUNC(1120.97,2)</f>
        <v>1120.97</v>
      </c>
      <c r="G468" s="205">
        <f t="shared" si="29"/>
        <v>920.98</v>
      </c>
    </row>
    <row r="469" spans="1:7" s="20" customFormat="1" ht="30">
      <c r="A469" s="113"/>
      <c r="B469" s="83" t="s">
        <v>551</v>
      </c>
      <c r="C469" s="84" t="s">
        <v>552</v>
      </c>
      <c r="D469" s="83" t="s">
        <v>1</v>
      </c>
      <c r="E469" s="83">
        <v>0.0221</v>
      </c>
      <c r="F469" s="85">
        <f>TRUNC(3709.08,2)</f>
        <v>3709.08</v>
      </c>
      <c r="G469" s="205">
        <f t="shared" si="29"/>
        <v>81.97</v>
      </c>
    </row>
    <row r="470" spans="1:7" s="20" customFormat="1" ht="30">
      <c r="A470" s="113"/>
      <c r="B470" s="83" t="s">
        <v>553</v>
      </c>
      <c r="C470" s="84" t="s">
        <v>554</v>
      </c>
      <c r="D470" s="83" t="s">
        <v>125</v>
      </c>
      <c r="E470" s="83">
        <v>1.9744</v>
      </c>
      <c r="F470" s="85">
        <f>TRUNC(6.62,2)</f>
        <v>6.62</v>
      </c>
      <c r="G470" s="205">
        <f t="shared" si="29"/>
        <v>13.07</v>
      </c>
    </row>
    <row r="471" spans="1:7" s="20" customFormat="1" ht="15.75">
      <c r="A471" s="113"/>
      <c r="B471" s="83"/>
      <c r="C471" s="84"/>
      <c r="D471" s="83"/>
      <c r="E471" s="83" t="s">
        <v>3</v>
      </c>
      <c r="F471" s="85"/>
      <c r="G471" s="205">
        <f>TRUNC(SUM(G454:G470),2)</f>
        <v>4906.56</v>
      </c>
    </row>
    <row r="472" spans="1:7" s="20" customFormat="1" ht="31.5">
      <c r="A472" s="130" t="s">
        <v>565</v>
      </c>
      <c r="B472" s="131" t="s">
        <v>523</v>
      </c>
      <c r="C472" s="132" t="s">
        <v>524</v>
      </c>
      <c r="D472" s="131" t="s">
        <v>2</v>
      </c>
      <c r="E472" s="131">
        <f>3-1.45</f>
        <v>1.55</v>
      </c>
      <c r="F472" s="133">
        <f>G483</f>
        <v>2066.59</v>
      </c>
      <c r="G472" s="134">
        <f>E472*F472</f>
        <v>3203.2145000000005</v>
      </c>
    </row>
    <row r="473" spans="1:7" s="20" customFormat="1" ht="15.75">
      <c r="A473" s="82"/>
      <c r="B473" s="83" t="s">
        <v>527</v>
      </c>
      <c r="C473" s="84" t="s">
        <v>528</v>
      </c>
      <c r="D473" s="83" t="s">
        <v>9</v>
      </c>
      <c r="E473" s="83">
        <v>23.1</v>
      </c>
      <c r="F473" s="85">
        <f>TRUNC(1.69,2)</f>
        <v>1.69</v>
      </c>
      <c r="G473" s="71">
        <f aca="true" t="shared" si="30" ref="G473:G482">TRUNC(E473*F473,2)</f>
        <v>39.03</v>
      </c>
    </row>
    <row r="474" spans="1:7" s="20" customFormat="1" ht="15.75">
      <c r="A474" s="82"/>
      <c r="B474" s="83" t="s">
        <v>525</v>
      </c>
      <c r="C474" s="84" t="s">
        <v>526</v>
      </c>
      <c r="D474" s="83" t="s">
        <v>9</v>
      </c>
      <c r="E474" s="83">
        <v>112.2267</v>
      </c>
      <c r="F474" s="85">
        <f>TRUNC(2.76,2)</f>
        <v>2.76</v>
      </c>
      <c r="G474" s="71">
        <f t="shared" si="30"/>
        <v>309.74</v>
      </c>
    </row>
    <row r="475" spans="1:7" s="20" customFormat="1" ht="15.75">
      <c r="A475" s="82"/>
      <c r="B475" s="83" t="s">
        <v>243</v>
      </c>
      <c r="C475" s="84" t="s">
        <v>178</v>
      </c>
      <c r="D475" s="83" t="s">
        <v>128</v>
      </c>
      <c r="E475" s="83">
        <v>28.3502</v>
      </c>
      <c r="F475" s="85">
        <f>TRUNC(20.74,2)</f>
        <v>20.74</v>
      </c>
      <c r="G475" s="71">
        <f t="shared" si="30"/>
        <v>587.98</v>
      </c>
    </row>
    <row r="476" spans="1:7" s="20" customFormat="1" ht="15.75">
      <c r="A476" s="82"/>
      <c r="B476" s="83" t="s">
        <v>250</v>
      </c>
      <c r="C476" s="84" t="s">
        <v>251</v>
      </c>
      <c r="D476" s="83" t="s">
        <v>128</v>
      </c>
      <c r="E476" s="83">
        <v>28.3502</v>
      </c>
      <c r="F476" s="85">
        <f>TRUNC(26.33,2)</f>
        <v>26.33</v>
      </c>
      <c r="G476" s="71">
        <f t="shared" si="30"/>
        <v>746.46</v>
      </c>
    </row>
    <row r="477" spans="1:7" s="20" customFormat="1" ht="30">
      <c r="A477" s="82"/>
      <c r="B477" s="83" t="s">
        <v>547</v>
      </c>
      <c r="C477" s="84" t="s">
        <v>548</v>
      </c>
      <c r="D477" s="83" t="s">
        <v>1</v>
      </c>
      <c r="E477" s="83">
        <v>0.6586</v>
      </c>
      <c r="F477" s="85">
        <f>TRUNC(402.58,2)</f>
        <v>402.58</v>
      </c>
      <c r="G477" s="71">
        <f t="shared" si="30"/>
        <v>265.13</v>
      </c>
    </row>
    <row r="478" spans="1:7" s="20" customFormat="1" ht="30">
      <c r="A478" s="82"/>
      <c r="B478" s="83" t="s">
        <v>541</v>
      </c>
      <c r="C478" s="84" t="s">
        <v>542</v>
      </c>
      <c r="D478" s="83" t="s">
        <v>125</v>
      </c>
      <c r="E478" s="83">
        <v>2.7148</v>
      </c>
      <c r="F478" s="85">
        <f>TRUNC(6.07,2)</f>
        <v>6.07</v>
      </c>
      <c r="G478" s="71">
        <f t="shared" si="30"/>
        <v>16.47</v>
      </c>
    </row>
    <row r="479" spans="1:7" s="20" customFormat="1" ht="30">
      <c r="A479" s="82"/>
      <c r="B479" s="83" t="s">
        <v>553</v>
      </c>
      <c r="C479" s="84" t="s">
        <v>554</v>
      </c>
      <c r="D479" s="83" t="s">
        <v>125</v>
      </c>
      <c r="E479" s="83">
        <v>1.9744</v>
      </c>
      <c r="F479" s="85">
        <f>TRUNC(6.62,2)</f>
        <v>6.62</v>
      </c>
      <c r="G479" s="71">
        <f t="shared" si="30"/>
        <v>13.07</v>
      </c>
    </row>
    <row r="480" spans="1:7" s="20" customFormat="1" ht="30">
      <c r="A480" s="82"/>
      <c r="B480" s="83" t="s">
        <v>537</v>
      </c>
      <c r="C480" s="84" t="s">
        <v>538</v>
      </c>
      <c r="D480" s="83" t="s">
        <v>1</v>
      </c>
      <c r="E480" s="83">
        <v>0.0677</v>
      </c>
      <c r="F480" s="85">
        <f>TRUNC(660.3,2)</f>
        <v>660.3</v>
      </c>
      <c r="G480" s="71">
        <f t="shared" si="30"/>
        <v>44.7</v>
      </c>
    </row>
    <row r="481" spans="1:7" s="20" customFormat="1" ht="15.75">
      <c r="A481" s="82"/>
      <c r="B481" s="83" t="s">
        <v>535</v>
      </c>
      <c r="C481" s="84" t="s">
        <v>536</v>
      </c>
      <c r="D481" s="83" t="s">
        <v>1</v>
      </c>
      <c r="E481" s="83">
        <v>0.0598</v>
      </c>
      <c r="F481" s="85">
        <f>TRUNC(695.62,2)</f>
        <v>695.62</v>
      </c>
      <c r="G481" s="71">
        <f t="shared" si="30"/>
        <v>41.59</v>
      </c>
    </row>
    <row r="482" spans="1:7" s="20" customFormat="1" ht="30">
      <c r="A482" s="82"/>
      <c r="B482" s="83" t="s">
        <v>533</v>
      </c>
      <c r="C482" s="84" t="s">
        <v>534</v>
      </c>
      <c r="D482" s="83" t="s">
        <v>1</v>
      </c>
      <c r="E482" s="83">
        <v>0.0076</v>
      </c>
      <c r="F482" s="85">
        <f>TRUNC(318.7,2)</f>
        <v>318.7</v>
      </c>
      <c r="G482" s="71">
        <f t="shared" si="30"/>
        <v>2.42</v>
      </c>
    </row>
    <row r="483" spans="1:7" s="20" customFormat="1" ht="15.75">
      <c r="A483" s="82"/>
      <c r="B483" s="83"/>
      <c r="C483" s="84"/>
      <c r="D483" s="83"/>
      <c r="E483" s="83" t="s">
        <v>3</v>
      </c>
      <c r="F483" s="85"/>
      <c r="G483" s="71">
        <f>TRUNC(SUM(G473:G482),2)</f>
        <v>2066.59</v>
      </c>
    </row>
    <row r="484" spans="1:7" s="20" customFormat="1" ht="30">
      <c r="A484" s="31" t="s">
        <v>566</v>
      </c>
      <c r="B484" s="98" t="s">
        <v>601</v>
      </c>
      <c r="C484" s="87" t="s">
        <v>605</v>
      </c>
      <c r="D484" s="86" t="s">
        <v>9</v>
      </c>
      <c r="E484" s="99"/>
      <c r="F484" s="100">
        <f>TRUNC(G485+G504,2)</f>
        <v>7489.79</v>
      </c>
      <c r="G484" s="73">
        <f>TRUNC((E484*F484),2)</f>
        <v>0</v>
      </c>
    </row>
    <row r="485" spans="1:7" s="20" customFormat="1" ht="47.25">
      <c r="A485" s="206" t="s">
        <v>446</v>
      </c>
      <c r="B485" s="131" t="s">
        <v>521</v>
      </c>
      <c r="C485" s="132" t="s">
        <v>522</v>
      </c>
      <c r="D485" s="131" t="s">
        <v>9</v>
      </c>
      <c r="E485" s="131">
        <v>1</v>
      </c>
      <c r="F485" s="133">
        <f>G503</f>
        <v>4906.56</v>
      </c>
      <c r="G485" s="207">
        <f aca="true" t="shared" si="31" ref="G485:G502">TRUNC(E485*F485,2)</f>
        <v>4906.56</v>
      </c>
    </row>
    <row r="486" spans="1:7" s="20" customFormat="1" ht="15.75">
      <c r="A486" s="113"/>
      <c r="B486" s="83" t="s">
        <v>525</v>
      </c>
      <c r="C486" s="84" t="s">
        <v>526</v>
      </c>
      <c r="D486" s="83" t="s">
        <v>9</v>
      </c>
      <c r="E486" s="83">
        <v>152.5539</v>
      </c>
      <c r="F486" s="85">
        <f>TRUNC(2.76,2)</f>
        <v>2.76</v>
      </c>
      <c r="G486" s="205">
        <f t="shared" si="31"/>
        <v>421.04</v>
      </c>
    </row>
    <row r="487" spans="1:7" s="20" customFormat="1" ht="15.75">
      <c r="A487" s="113"/>
      <c r="B487" s="83" t="s">
        <v>527</v>
      </c>
      <c r="C487" s="84" t="s">
        <v>528</v>
      </c>
      <c r="D487" s="83" t="s">
        <v>9</v>
      </c>
      <c r="E487" s="83">
        <v>46.2</v>
      </c>
      <c r="F487" s="85">
        <f>TRUNC(1.69,2)</f>
        <v>1.69</v>
      </c>
      <c r="G487" s="205">
        <f t="shared" si="31"/>
        <v>78.07</v>
      </c>
    </row>
    <row r="488" spans="1:7" s="20" customFormat="1" ht="15.75">
      <c r="A488" s="113"/>
      <c r="B488" s="83" t="s">
        <v>250</v>
      </c>
      <c r="C488" s="84" t="s">
        <v>251</v>
      </c>
      <c r="D488" s="83" t="s">
        <v>128</v>
      </c>
      <c r="E488" s="83">
        <v>36.3089</v>
      </c>
      <c r="F488" s="85">
        <f>TRUNC(26.33,2)</f>
        <v>26.33</v>
      </c>
      <c r="G488" s="205">
        <f t="shared" si="31"/>
        <v>956.01</v>
      </c>
    </row>
    <row r="489" spans="1:7" s="20" customFormat="1" ht="15.75">
      <c r="A489" s="113"/>
      <c r="B489" s="83" t="s">
        <v>243</v>
      </c>
      <c r="C489" s="84" t="s">
        <v>178</v>
      </c>
      <c r="D489" s="83" t="s">
        <v>128</v>
      </c>
      <c r="E489" s="83">
        <v>36.3089</v>
      </c>
      <c r="F489" s="85">
        <f>TRUNC(20.74,2)</f>
        <v>20.74</v>
      </c>
      <c r="G489" s="205">
        <f t="shared" si="31"/>
        <v>753.04</v>
      </c>
    </row>
    <row r="490" spans="1:7" s="20" customFormat="1" ht="45">
      <c r="A490" s="113"/>
      <c r="B490" s="83" t="s">
        <v>529</v>
      </c>
      <c r="C490" s="84" t="s">
        <v>530</v>
      </c>
      <c r="D490" s="83" t="s">
        <v>125</v>
      </c>
      <c r="E490" s="83">
        <v>31.7844</v>
      </c>
      <c r="F490" s="85">
        <f>TRUNC(13.4,2)</f>
        <v>13.4</v>
      </c>
      <c r="G490" s="205">
        <f t="shared" si="31"/>
        <v>425.91</v>
      </c>
    </row>
    <row r="491" spans="1:7" s="20" customFormat="1" ht="60">
      <c r="A491" s="113"/>
      <c r="B491" s="83" t="s">
        <v>531</v>
      </c>
      <c r="C491" s="84" t="s">
        <v>532</v>
      </c>
      <c r="D491" s="83" t="s">
        <v>132</v>
      </c>
      <c r="E491" s="83">
        <v>0.9211</v>
      </c>
      <c r="F491" s="85">
        <f>TRUNC(45.02,2)</f>
        <v>45.02</v>
      </c>
      <c r="G491" s="205">
        <f t="shared" si="31"/>
        <v>41.46</v>
      </c>
    </row>
    <row r="492" spans="1:7" s="20" customFormat="1" ht="30">
      <c r="A492" s="113"/>
      <c r="B492" s="83" t="s">
        <v>533</v>
      </c>
      <c r="C492" s="84" t="s">
        <v>534</v>
      </c>
      <c r="D492" s="83" t="s">
        <v>1</v>
      </c>
      <c r="E492" s="83">
        <v>0.0071</v>
      </c>
      <c r="F492" s="85">
        <f>TRUNC(318.7,2)</f>
        <v>318.7</v>
      </c>
      <c r="G492" s="205">
        <f t="shared" si="31"/>
        <v>2.26</v>
      </c>
    </row>
    <row r="493" spans="1:7" s="20" customFormat="1" ht="15.75">
      <c r="A493" s="113"/>
      <c r="B493" s="83" t="s">
        <v>535</v>
      </c>
      <c r="C493" s="84" t="s">
        <v>536</v>
      </c>
      <c r="D493" s="83" t="s">
        <v>1</v>
      </c>
      <c r="E493" s="83">
        <v>0.0598</v>
      </c>
      <c r="F493" s="85">
        <f>TRUNC(695.62,2)</f>
        <v>695.62</v>
      </c>
      <c r="G493" s="205">
        <f t="shared" si="31"/>
        <v>41.59</v>
      </c>
    </row>
    <row r="494" spans="1:7" s="20" customFormat="1" ht="30">
      <c r="A494" s="113"/>
      <c r="B494" s="83" t="s">
        <v>537</v>
      </c>
      <c r="C494" s="84" t="s">
        <v>538</v>
      </c>
      <c r="D494" s="83" t="s">
        <v>1</v>
      </c>
      <c r="E494" s="83">
        <v>0.1354</v>
      </c>
      <c r="F494" s="85">
        <f>TRUNC(660.3,2)</f>
        <v>660.3</v>
      </c>
      <c r="G494" s="205">
        <f t="shared" si="31"/>
        <v>89.4</v>
      </c>
    </row>
    <row r="495" spans="1:7" s="20" customFormat="1" ht="60">
      <c r="A495" s="113"/>
      <c r="B495" s="83" t="s">
        <v>539</v>
      </c>
      <c r="C495" s="84" t="s">
        <v>540</v>
      </c>
      <c r="D495" s="83" t="s">
        <v>133</v>
      </c>
      <c r="E495" s="83">
        <v>0.2738</v>
      </c>
      <c r="F495" s="85">
        <f>TRUNC(105.29,2)</f>
        <v>105.29</v>
      </c>
      <c r="G495" s="205">
        <f t="shared" si="31"/>
        <v>28.82</v>
      </c>
    </row>
    <row r="496" spans="1:7" s="20" customFormat="1" ht="30">
      <c r="A496" s="113"/>
      <c r="B496" s="83" t="s">
        <v>541</v>
      </c>
      <c r="C496" s="84" t="s">
        <v>542</v>
      </c>
      <c r="D496" s="83" t="s">
        <v>125</v>
      </c>
      <c r="E496" s="83">
        <v>5.4296</v>
      </c>
      <c r="F496" s="85">
        <f>TRUNC(6.07,2)</f>
        <v>6.07</v>
      </c>
      <c r="G496" s="205">
        <f t="shared" si="31"/>
        <v>32.95</v>
      </c>
    </row>
    <row r="497" spans="1:7" s="20" customFormat="1" ht="45">
      <c r="A497" s="113"/>
      <c r="B497" s="83" t="s">
        <v>543</v>
      </c>
      <c r="C497" s="84" t="s">
        <v>544</v>
      </c>
      <c r="D497" s="83" t="s">
        <v>1</v>
      </c>
      <c r="E497" s="83">
        <v>1.3068</v>
      </c>
      <c r="F497" s="85">
        <f>TRUNC(146.55,2)</f>
        <v>146.55</v>
      </c>
      <c r="G497" s="205">
        <f t="shared" si="31"/>
        <v>191.51</v>
      </c>
    </row>
    <row r="498" spans="1:7" s="20" customFormat="1" ht="30">
      <c r="A498" s="113"/>
      <c r="B498" s="83" t="s">
        <v>545</v>
      </c>
      <c r="C498" s="84" t="s">
        <v>546</v>
      </c>
      <c r="D498" s="83" t="s">
        <v>1</v>
      </c>
      <c r="E498" s="83">
        <v>1.1974</v>
      </c>
      <c r="F498" s="85">
        <f>TRUNC(284.42,2)</f>
        <v>284.42</v>
      </c>
      <c r="G498" s="205">
        <f t="shared" si="31"/>
        <v>340.56</v>
      </c>
    </row>
    <row r="499" spans="1:7" s="20" customFormat="1" ht="30">
      <c r="A499" s="113"/>
      <c r="B499" s="83" t="s">
        <v>547</v>
      </c>
      <c r="C499" s="84" t="s">
        <v>548</v>
      </c>
      <c r="D499" s="83" t="s">
        <v>1</v>
      </c>
      <c r="E499" s="83">
        <v>1.212</v>
      </c>
      <c r="F499" s="85">
        <f>TRUNC(402.58,2)</f>
        <v>402.58</v>
      </c>
      <c r="G499" s="205">
        <f t="shared" si="31"/>
        <v>487.92</v>
      </c>
    </row>
    <row r="500" spans="1:7" s="20" customFormat="1" ht="30">
      <c r="A500" s="113"/>
      <c r="B500" s="83" t="s">
        <v>549</v>
      </c>
      <c r="C500" s="84" t="s">
        <v>550</v>
      </c>
      <c r="D500" s="83" t="s">
        <v>1</v>
      </c>
      <c r="E500" s="83">
        <v>0.8216</v>
      </c>
      <c r="F500" s="85">
        <f>TRUNC(1120.97,2)</f>
        <v>1120.97</v>
      </c>
      <c r="G500" s="205">
        <f t="shared" si="31"/>
        <v>920.98</v>
      </c>
    </row>
    <row r="501" spans="1:7" s="20" customFormat="1" ht="30">
      <c r="A501" s="113"/>
      <c r="B501" s="83" t="s">
        <v>551</v>
      </c>
      <c r="C501" s="84" t="s">
        <v>552</v>
      </c>
      <c r="D501" s="83" t="s">
        <v>1</v>
      </c>
      <c r="E501" s="83">
        <v>0.0221</v>
      </c>
      <c r="F501" s="85">
        <f>TRUNC(3709.08,2)</f>
        <v>3709.08</v>
      </c>
      <c r="G501" s="205">
        <f t="shared" si="31"/>
        <v>81.97</v>
      </c>
    </row>
    <row r="502" spans="1:7" s="20" customFormat="1" ht="30">
      <c r="A502" s="113"/>
      <c r="B502" s="83" t="s">
        <v>553</v>
      </c>
      <c r="C502" s="84" t="s">
        <v>554</v>
      </c>
      <c r="D502" s="83" t="s">
        <v>125</v>
      </c>
      <c r="E502" s="83">
        <v>1.9744</v>
      </c>
      <c r="F502" s="85">
        <f>TRUNC(6.62,2)</f>
        <v>6.62</v>
      </c>
      <c r="G502" s="205">
        <f t="shared" si="31"/>
        <v>13.07</v>
      </c>
    </row>
    <row r="503" spans="1:7" s="20" customFormat="1" ht="15.75">
      <c r="A503" s="113"/>
      <c r="B503" s="83"/>
      <c r="C503" s="84"/>
      <c r="D503" s="83"/>
      <c r="E503" s="83" t="s">
        <v>3</v>
      </c>
      <c r="F503" s="85"/>
      <c r="G503" s="205">
        <f>TRUNC(SUM(G486:G502),2)</f>
        <v>4906.56</v>
      </c>
    </row>
    <row r="504" spans="1:7" s="20" customFormat="1" ht="31.5">
      <c r="A504" s="130" t="s">
        <v>565</v>
      </c>
      <c r="B504" s="131" t="s">
        <v>523</v>
      </c>
      <c r="C504" s="132" t="s">
        <v>524</v>
      </c>
      <c r="D504" s="131" t="s">
        <v>2</v>
      </c>
      <c r="E504" s="131">
        <f>2.7-1.45</f>
        <v>1.2500000000000002</v>
      </c>
      <c r="F504" s="133">
        <f>G515</f>
        <v>2066.59</v>
      </c>
      <c r="G504" s="134">
        <f>E504*F504</f>
        <v>2583.2375000000006</v>
      </c>
    </row>
    <row r="505" spans="1:7" s="20" customFormat="1" ht="15.75">
      <c r="A505" s="82"/>
      <c r="B505" s="83" t="s">
        <v>527</v>
      </c>
      <c r="C505" s="84" t="s">
        <v>528</v>
      </c>
      <c r="D505" s="83" t="s">
        <v>9</v>
      </c>
      <c r="E505" s="83">
        <v>23.1</v>
      </c>
      <c r="F505" s="85">
        <f>TRUNC(1.69,2)</f>
        <v>1.69</v>
      </c>
      <c r="G505" s="71">
        <f aca="true" t="shared" si="32" ref="G505:G514">TRUNC(E505*F505,2)</f>
        <v>39.03</v>
      </c>
    </row>
    <row r="506" spans="1:7" s="20" customFormat="1" ht="15.75">
      <c r="A506" s="82"/>
      <c r="B506" s="83" t="s">
        <v>525</v>
      </c>
      <c r="C506" s="84" t="s">
        <v>526</v>
      </c>
      <c r="D506" s="83" t="s">
        <v>9</v>
      </c>
      <c r="E506" s="83">
        <v>112.2267</v>
      </c>
      <c r="F506" s="85">
        <f>TRUNC(2.76,2)</f>
        <v>2.76</v>
      </c>
      <c r="G506" s="71">
        <f t="shared" si="32"/>
        <v>309.74</v>
      </c>
    </row>
    <row r="507" spans="1:7" s="20" customFormat="1" ht="15.75">
      <c r="A507" s="82"/>
      <c r="B507" s="83" t="s">
        <v>243</v>
      </c>
      <c r="C507" s="84" t="s">
        <v>178</v>
      </c>
      <c r="D507" s="83" t="s">
        <v>128</v>
      </c>
      <c r="E507" s="83">
        <v>28.3502</v>
      </c>
      <c r="F507" s="85">
        <f>TRUNC(20.74,2)</f>
        <v>20.74</v>
      </c>
      <c r="G507" s="71">
        <f t="shared" si="32"/>
        <v>587.98</v>
      </c>
    </row>
    <row r="508" spans="1:7" s="20" customFormat="1" ht="15.75">
      <c r="A508" s="82"/>
      <c r="B508" s="83" t="s">
        <v>250</v>
      </c>
      <c r="C508" s="84" t="s">
        <v>251</v>
      </c>
      <c r="D508" s="83" t="s">
        <v>128</v>
      </c>
      <c r="E508" s="83">
        <v>28.3502</v>
      </c>
      <c r="F508" s="85">
        <f>TRUNC(26.33,2)</f>
        <v>26.33</v>
      </c>
      <c r="G508" s="71">
        <f t="shared" si="32"/>
        <v>746.46</v>
      </c>
    </row>
    <row r="509" spans="1:7" s="20" customFormat="1" ht="30">
      <c r="A509" s="82"/>
      <c r="B509" s="83" t="s">
        <v>547</v>
      </c>
      <c r="C509" s="84" t="s">
        <v>548</v>
      </c>
      <c r="D509" s="83" t="s">
        <v>1</v>
      </c>
      <c r="E509" s="83">
        <v>0.6586</v>
      </c>
      <c r="F509" s="85">
        <f>TRUNC(402.58,2)</f>
        <v>402.58</v>
      </c>
      <c r="G509" s="71">
        <f t="shared" si="32"/>
        <v>265.13</v>
      </c>
    </row>
    <row r="510" spans="1:7" s="20" customFormat="1" ht="30">
      <c r="A510" s="82"/>
      <c r="B510" s="83" t="s">
        <v>541</v>
      </c>
      <c r="C510" s="84" t="s">
        <v>542</v>
      </c>
      <c r="D510" s="83" t="s">
        <v>125</v>
      </c>
      <c r="E510" s="83">
        <v>2.7148</v>
      </c>
      <c r="F510" s="85">
        <f>TRUNC(6.07,2)</f>
        <v>6.07</v>
      </c>
      <c r="G510" s="71">
        <f t="shared" si="32"/>
        <v>16.47</v>
      </c>
    </row>
    <row r="511" spans="1:7" s="20" customFormat="1" ht="30">
      <c r="A511" s="82"/>
      <c r="B511" s="83" t="s">
        <v>553</v>
      </c>
      <c r="C511" s="84" t="s">
        <v>554</v>
      </c>
      <c r="D511" s="83" t="s">
        <v>125</v>
      </c>
      <c r="E511" s="83">
        <v>1.9744</v>
      </c>
      <c r="F511" s="85">
        <f>TRUNC(6.62,2)</f>
        <v>6.62</v>
      </c>
      <c r="G511" s="71">
        <f t="shared" si="32"/>
        <v>13.07</v>
      </c>
    </row>
    <row r="512" spans="1:7" s="20" customFormat="1" ht="30">
      <c r="A512" s="82"/>
      <c r="B512" s="83" t="s">
        <v>537</v>
      </c>
      <c r="C512" s="84" t="s">
        <v>538</v>
      </c>
      <c r="D512" s="83" t="s">
        <v>1</v>
      </c>
      <c r="E512" s="83">
        <v>0.0677</v>
      </c>
      <c r="F512" s="85">
        <f>TRUNC(660.3,2)</f>
        <v>660.3</v>
      </c>
      <c r="G512" s="71">
        <f t="shared" si="32"/>
        <v>44.7</v>
      </c>
    </row>
    <row r="513" spans="1:7" s="20" customFormat="1" ht="15.75">
      <c r="A513" s="82"/>
      <c r="B513" s="83" t="s">
        <v>535</v>
      </c>
      <c r="C513" s="84" t="s">
        <v>536</v>
      </c>
      <c r="D513" s="83" t="s">
        <v>1</v>
      </c>
      <c r="E513" s="83">
        <v>0.0598</v>
      </c>
      <c r="F513" s="85">
        <f>TRUNC(695.62,2)</f>
        <v>695.62</v>
      </c>
      <c r="G513" s="71">
        <f t="shared" si="32"/>
        <v>41.59</v>
      </c>
    </row>
    <row r="514" spans="1:7" s="20" customFormat="1" ht="30">
      <c r="A514" s="82"/>
      <c r="B514" s="83" t="s">
        <v>533</v>
      </c>
      <c r="C514" s="84" t="s">
        <v>534</v>
      </c>
      <c r="D514" s="83" t="s">
        <v>1</v>
      </c>
      <c r="E514" s="83">
        <v>0.0076</v>
      </c>
      <c r="F514" s="85">
        <f>TRUNC(318.7,2)</f>
        <v>318.7</v>
      </c>
      <c r="G514" s="71">
        <f t="shared" si="32"/>
        <v>2.42</v>
      </c>
    </row>
    <row r="515" spans="1:7" s="20" customFormat="1" ht="15.75">
      <c r="A515" s="82"/>
      <c r="B515" s="83"/>
      <c r="C515" s="84"/>
      <c r="D515" s="83"/>
      <c r="E515" s="83" t="s">
        <v>3</v>
      </c>
      <c r="F515" s="85"/>
      <c r="G515" s="71">
        <f>TRUNC(SUM(G505:G514),2)</f>
        <v>2066.59</v>
      </c>
    </row>
    <row r="516" spans="1:7" s="20" customFormat="1" ht="75">
      <c r="A516" s="31" t="s">
        <v>575</v>
      </c>
      <c r="B516" s="86" t="s">
        <v>555</v>
      </c>
      <c r="C516" s="87" t="s">
        <v>556</v>
      </c>
      <c r="D516" s="86" t="s">
        <v>9</v>
      </c>
      <c r="E516" s="99"/>
      <c r="F516" s="100">
        <f>TRUNC(F517,2)</f>
        <v>4580.64</v>
      </c>
      <c r="G516" s="73">
        <f>TRUNC((E516*F516),2)</f>
        <v>0</v>
      </c>
    </row>
    <row r="517" spans="1:7" s="20" customFormat="1" ht="75">
      <c r="A517" s="113"/>
      <c r="B517" s="83" t="s">
        <v>555</v>
      </c>
      <c r="C517" s="84" t="s">
        <v>556</v>
      </c>
      <c r="D517" s="83" t="s">
        <v>9</v>
      </c>
      <c r="E517" s="83">
        <v>1</v>
      </c>
      <c r="F517" s="85">
        <f>G535</f>
        <v>4580.64</v>
      </c>
      <c r="G517" s="205">
        <f aca="true" t="shared" si="33" ref="G517:G534">TRUNC(E517*F517,2)</f>
        <v>4580.64</v>
      </c>
    </row>
    <row r="518" spans="1:7" s="20" customFormat="1" ht="15.75">
      <c r="A518" s="113"/>
      <c r="B518" s="83" t="s">
        <v>557</v>
      </c>
      <c r="C518" s="84" t="s">
        <v>558</v>
      </c>
      <c r="D518" s="83" t="s">
        <v>125</v>
      </c>
      <c r="E518" s="83">
        <v>15.49</v>
      </c>
      <c r="F518" s="85">
        <f>TRUNC(4.7222,2)</f>
        <v>4.72</v>
      </c>
      <c r="G518" s="205">
        <f t="shared" si="33"/>
        <v>73.11</v>
      </c>
    </row>
    <row r="519" spans="1:7" s="20" customFormat="1" ht="15.75">
      <c r="A519" s="113"/>
      <c r="B519" s="83" t="s">
        <v>142</v>
      </c>
      <c r="C519" s="84" t="s">
        <v>310</v>
      </c>
      <c r="D519" s="83" t="s">
        <v>125</v>
      </c>
      <c r="E519" s="83">
        <v>1.05</v>
      </c>
      <c r="F519" s="85">
        <f>TRUNC(5.4325,2)</f>
        <v>5.43</v>
      </c>
      <c r="G519" s="205">
        <f t="shared" si="33"/>
        <v>5.7</v>
      </c>
    </row>
    <row r="520" spans="1:7" s="20" customFormat="1" ht="15.75">
      <c r="A520" s="113"/>
      <c r="B520" s="83" t="s">
        <v>447</v>
      </c>
      <c r="C520" s="84" t="s">
        <v>448</v>
      </c>
      <c r="D520" s="83" t="s">
        <v>125</v>
      </c>
      <c r="E520" s="83">
        <v>80.38</v>
      </c>
      <c r="F520" s="85">
        <f>TRUNC(3.56,2)</f>
        <v>3.56</v>
      </c>
      <c r="G520" s="205">
        <f t="shared" si="33"/>
        <v>286.15</v>
      </c>
    </row>
    <row r="521" spans="1:7" s="20" customFormat="1" ht="15.75">
      <c r="A521" s="113"/>
      <c r="B521" s="83" t="s">
        <v>140</v>
      </c>
      <c r="C521" s="84" t="s">
        <v>308</v>
      </c>
      <c r="D521" s="83" t="s">
        <v>125</v>
      </c>
      <c r="E521" s="83">
        <v>25.16</v>
      </c>
      <c r="F521" s="85">
        <f>TRUNC(3.61,2)</f>
        <v>3.61</v>
      </c>
      <c r="G521" s="205">
        <f t="shared" si="33"/>
        <v>90.82</v>
      </c>
    </row>
    <row r="522" spans="1:7" s="20" customFormat="1" ht="15.75">
      <c r="A522" s="113"/>
      <c r="B522" s="83" t="s">
        <v>135</v>
      </c>
      <c r="C522" s="84" t="s">
        <v>261</v>
      </c>
      <c r="D522" s="83" t="s">
        <v>125</v>
      </c>
      <c r="E522" s="83">
        <v>908.7</v>
      </c>
      <c r="F522" s="85">
        <f>TRUNC(0.35,2)</f>
        <v>0.35</v>
      </c>
      <c r="G522" s="205">
        <f t="shared" si="33"/>
        <v>318.04</v>
      </c>
    </row>
    <row r="523" spans="1:7" s="20" customFormat="1" ht="15.75">
      <c r="A523" s="113"/>
      <c r="B523" s="83" t="s">
        <v>139</v>
      </c>
      <c r="C523" s="84" t="s">
        <v>307</v>
      </c>
      <c r="D523" s="83" t="s">
        <v>9</v>
      </c>
      <c r="E523" s="83">
        <v>2</v>
      </c>
      <c r="F523" s="85">
        <f>TRUNC(42,2)</f>
        <v>42</v>
      </c>
      <c r="G523" s="205">
        <f t="shared" si="33"/>
        <v>84</v>
      </c>
    </row>
    <row r="524" spans="1:7" s="20" customFormat="1" ht="15.75">
      <c r="A524" s="113"/>
      <c r="B524" s="83" t="s">
        <v>150</v>
      </c>
      <c r="C524" s="84" t="s">
        <v>338</v>
      </c>
      <c r="D524" s="83" t="s">
        <v>1</v>
      </c>
      <c r="E524" s="83">
        <v>2.09</v>
      </c>
      <c r="F524" s="85">
        <f>TRUNC(50,2)</f>
        <v>50</v>
      </c>
      <c r="G524" s="205">
        <f t="shared" si="33"/>
        <v>104.5</v>
      </c>
    </row>
    <row r="525" spans="1:7" s="20" customFormat="1" ht="30">
      <c r="A525" s="113"/>
      <c r="B525" s="83" t="s">
        <v>124</v>
      </c>
      <c r="C525" s="84" t="s">
        <v>207</v>
      </c>
      <c r="D525" s="83" t="s">
        <v>125</v>
      </c>
      <c r="E525" s="83">
        <v>0.744</v>
      </c>
      <c r="F525" s="85">
        <f>TRUNC(8.39,2)</f>
        <v>8.39</v>
      </c>
      <c r="G525" s="205">
        <f t="shared" si="33"/>
        <v>6.24</v>
      </c>
    </row>
    <row r="526" spans="1:7" s="20" customFormat="1" ht="15.75">
      <c r="A526" s="113"/>
      <c r="B526" s="83" t="s">
        <v>134</v>
      </c>
      <c r="C526" s="84" t="s">
        <v>260</v>
      </c>
      <c r="D526" s="83" t="s">
        <v>53</v>
      </c>
      <c r="E526" s="83">
        <v>3.5235</v>
      </c>
      <c r="F526" s="85">
        <f>TRUNC(52.215,2)</f>
        <v>52.21</v>
      </c>
      <c r="G526" s="205">
        <f t="shared" si="33"/>
        <v>183.96</v>
      </c>
    </row>
    <row r="527" spans="1:7" s="20" customFormat="1" ht="15.75">
      <c r="A527" s="113"/>
      <c r="B527" s="83" t="s">
        <v>126</v>
      </c>
      <c r="C527" s="84" t="s">
        <v>208</v>
      </c>
      <c r="D527" s="83" t="s">
        <v>2</v>
      </c>
      <c r="E527" s="83">
        <v>14.29</v>
      </c>
      <c r="F527" s="85">
        <f>TRUNC(2.46,2)</f>
        <v>2.46</v>
      </c>
      <c r="G527" s="205">
        <f t="shared" si="33"/>
        <v>35.15</v>
      </c>
    </row>
    <row r="528" spans="1:7" s="20" customFormat="1" ht="15.75">
      <c r="A528" s="113"/>
      <c r="B528" s="83" t="s">
        <v>299</v>
      </c>
      <c r="C528" s="84" t="s">
        <v>300</v>
      </c>
      <c r="D528" s="83" t="s">
        <v>128</v>
      </c>
      <c r="E528" s="83">
        <v>21.897800000000004</v>
      </c>
      <c r="F528" s="85">
        <f>TRUNC(19.97,2)</f>
        <v>19.97</v>
      </c>
      <c r="G528" s="205">
        <f t="shared" si="33"/>
        <v>437.29</v>
      </c>
    </row>
    <row r="529" spans="1:7" s="20" customFormat="1" ht="30">
      <c r="A529" s="113"/>
      <c r="B529" s="83" t="s">
        <v>328</v>
      </c>
      <c r="C529" s="84" t="s">
        <v>329</v>
      </c>
      <c r="D529" s="83" t="s">
        <v>128</v>
      </c>
      <c r="E529" s="83">
        <v>45.9792</v>
      </c>
      <c r="F529" s="85">
        <f>TRUNC(19.97,2)</f>
        <v>19.97</v>
      </c>
      <c r="G529" s="205">
        <f t="shared" si="33"/>
        <v>918.2</v>
      </c>
    </row>
    <row r="530" spans="1:7" s="20" customFormat="1" ht="15.75">
      <c r="A530" s="113"/>
      <c r="B530" s="83" t="s">
        <v>311</v>
      </c>
      <c r="C530" s="84" t="s">
        <v>312</v>
      </c>
      <c r="D530" s="83" t="s">
        <v>128</v>
      </c>
      <c r="E530" s="83">
        <v>16.2946</v>
      </c>
      <c r="F530" s="85">
        <f>TRUNC(19.97,2)</f>
        <v>19.97</v>
      </c>
      <c r="G530" s="205">
        <f t="shared" si="33"/>
        <v>325.4</v>
      </c>
    </row>
    <row r="531" spans="1:7" s="20" customFormat="1" ht="15.75">
      <c r="A531" s="113"/>
      <c r="B531" s="83" t="s">
        <v>209</v>
      </c>
      <c r="C531" s="84" t="s">
        <v>210</v>
      </c>
      <c r="D531" s="83" t="s">
        <v>128</v>
      </c>
      <c r="E531" s="83">
        <v>109.489</v>
      </c>
      <c r="F531" s="85">
        <f>TRUNC(14.47,2)</f>
        <v>14.47</v>
      </c>
      <c r="G531" s="205">
        <f t="shared" si="33"/>
        <v>1584.3</v>
      </c>
    </row>
    <row r="532" spans="1:7" s="20" customFormat="1" ht="15.75">
      <c r="A532" s="113"/>
      <c r="B532" s="83" t="s">
        <v>559</v>
      </c>
      <c r="C532" s="84" t="s">
        <v>560</v>
      </c>
      <c r="D532" s="83" t="s">
        <v>128</v>
      </c>
      <c r="E532" s="83">
        <v>1.806</v>
      </c>
      <c r="F532" s="85">
        <f>TRUNC(3.3639,2)</f>
        <v>3.36</v>
      </c>
      <c r="G532" s="205">
        <f t="shared" si="33"/>
        <v>6.06</v>
      </c>
    </row>
    <row r="533" spans="1:7" s="20" customFormat="1" ht="15.75">
      <c r="A533" s="113"/>
      <c r="B533" s="83" t="s">
        <v>561</v>
      </c>
      <c r="C533" s="84" t="s">
        <v>562</v>
      </c>
      <c r="D533" s="83" t="s">
        <v>0</v>
      </c>
      <c r="E533" s="83">
        <v>7.016</v>
      </c>
      <c r="F533" s="85">
        <f>TRUNC(17.0199,2)</f>
        <v>17.01</v>
      </c>
      <c r="G533" s="205">
        <f t="shared" si="33"/>
        <v>119.34</v>
      </c>
    </row>
    <row r="534" spans="1:7" s="20" customFormat="1" ht="15.75">
      <c r="A534" s="113"/>
      <c r="B534" s="83" t="s">
        <v>563</v>
      </c>
      <c r="C534" s="84" t="s">
        <v>564</v>
      </c>
      <c r="D534" s="83" t="s">
        <v>128</v>
      </c>
      <c r="E534" s="83">
        <v>5.422</v>
      </c>
      <c r="F534" s="85">
        <f>TRUNC(0.44,2)</f>
        <v>0.44</v>
      </c>
      <c r="G534" s="205">
        <f t="shared" si="33"/>
        <v>2.38</v>
      </c>
    </row>
    <row r="535" spans="1:7" s="20" customFormat="1" ht="15.75">
      <c r="A535" s="113"/>
      <c r="B535" s="83"/>
      <c r="C535" s="84"/>
      <c r="D535" s="83"/>
      <c r="E535" s="83" t="s">
        <v>3</v>
      </c>
      <c r="F535" s="85"/>
      <c r="G535" s="205">
        <f>TRUNC(SUM(G518:G534),2)</f>
        <v>4580.64</v>
      </c>
    </row>
    <row r="536" spans="1:7" s="20" customFormat="1" ht="45">
      <c r="A536" s="31" t="s">
        <v>576</v>
      </c>
      <c r="B536" s="86" t="s">
        <v>317</v>
      </c>
      <c r="C536" s="87" t="s">
        <v>318</v>
      </c>
      <c r="D536" s="86" t="s">
        <v>9</v>
      </c>
      <c r="E536" s="99"/>
      <c r="F536" s="100">
        <f>TRUNC(F537,2)</f>
        <v>351.2</v>
      </c>
      <c r="G536" s="73">
        <f>TRUNC((E536*F536),2)</f>
        <v>0</v>
      </c>
    </row>
    <row r="537" spans="1:7" s="20" customFormat="1" ht="45">
      <c r="A537" s="113"/>
      <c r="B537" s="83" t="s">
        <v>317</v>
      </c>
      <c r="C537" s="84" t="s">
        <v>318</v>
      </c>
      <c r="D537" s="83" t="s">
        <v>9</v>
      </c>
      <c r="E537" s="83">
        <v>1</v>
      </c>
      <c r="F537" s="85">
        <f>G542</f>
        <v>351.2</v>
      </c>
      <c r="G537" s="205">
        <f>TRUNC(E537*F537,2)</f>
        <v>351.2</v>
      </c>
    </row>
    <row r="538" spans="1:7" s="20" customFormat="1" ht="30">
      <c r="A538" s="113"/>
      <c r="B538" s="83" t="s">
        <v>143</v>
      </c>
      <c r="C538" s="84" t="s">
        <v>319</v>
      </c>
      <c r="D538" s="83" t="s">
        <v>9</v>
      </c>
      <c r="E538" s="83">
        <v>1</v>
      </c>
      <c r="F538" s="85">
        <f>TRUNC(279,2)</f>
        <v>279</v>
      </c>
      <c r="G538" s="205">
        <f>TRUNC(E538*F538,2)</f>
        <v>279</v>
      </c>
    </row>
    <row r="539" spans="1:7" s="20" customFormat="1" ht="15.75">
      <c r="A539" s="113"/>
      <c r="B539" s="83" t="s">
        <v>209</v>
      </c>
      <c r="C539" s="84" t="s">
        <v>210</v>
      </c>
      <c r="D539" s="83" t="s">
        <v>128</v>
      </c>
      <c r="E539" s="83">
        <v>2.06</v>
      </c>
      <c r="F539" s="85">
        <f>TRUNC(14.47,2)</f>
        <v>14.47</v>
      </c>
      <c r="G539" s="205">
        <f>TRUNC(E539*F539,2)</f>
        <v>29.8</v>
      </c>
    </row>
    <row r="540" spans="1:7" s="20" customFormat="1" ht="15.75">
      <c r="A540" s="113"/>
      <c r="B540" s="83" t="s">
        <v>299</v>
      </c>
      <c r="C540" s="84" t="s">
        <v>300</v>
      </c>
      <c r="D540" s="83" t="s">
        <v>128</v>
      </c>
      <c r="E540" s="83">
        <v>2.06</v>
      </c>
      <c r="F540" s="85">
        <f>TRUNC(19.97,2)</f>
        <v>19.97</v>
      </c>
      <c r="G540" s="205">
        <f>TRUNC(E540*F540,2)</f>
        <v>41.13</v>
      </c>
    </row>
    <row r="541" spans="1:7" s="20" customFormat="1" ht="15.75">
      <c r="A541" s="113"/>
      <c r="B541" s="83" t="s">
        <v>292</v>
      </c>
      <c r="C541" s="84" t="s">
        <v>293</v>
      </c>
      <c r="D541" s="83" t="s">
        <v>1</v>
      </c>
      <c r="E541" s="83">
        <v>0.005</v>
      </c>
      <c r="F541" s="85">
        <f>TRUNC(255.6539,2)</f>
        <v>255.65</v>
      </c>
      <c r="G541" s="205">
        <f>TRUNC(E541*F541,2)</f>
        <v>1.27</v>
      </c>
    </row>
    <row r="542" spans="1:7" s="20" customFormat="1" ht="15.75">
      <c r="A542" s="113"/>
      <c r="B542" s="83"/>
      <c r="C542" s="84"/>
      <c r="D542" s="83"/>
      <c r="E542" s="83" t="s">
        <v>3</v>
      </c>
      <c r="F542" s="85"/>
      <c r="G542" s="205">
        <f>TRUNC(SUM(G538:G541),2)</f>
        <v>351.2</v>
      </c>
    </row>
    <row r="543" spans="1:8" s="33" customFormat="1" ht="75">
      <c r="A543" s="31" t="s">
        <v>577</v>
      </c>
      <c r="B543" s="86" t="s">
        <v>66</v>
      </c>
      <c r="C543" s="87" t="s">
        <v>93</v>
      </c>
      <c r="D543" s="86" t="s">
        <v>9</v>
      </c>
      <c r="E543" s="86"/>
      <c r="F543" s="99">
        <f>TRUNC(G544,2)</f>
        <v>6762.13</v>
      </c>
      <c r="G543" s="73">
        <f>TRUNC((E543*F543),2)</f>
        <v>0</v>
      </c>
      <c r="H543" s="180" t="s">
        <v>427</v>
      </c>
    </row>
    <row r="544" spans="1:8" s="20" customFormat="1" ht="75">
      <c r="A544" s="78"/>
      <c r="B544" s="79" t="s">
        <v>320</v>
      </c>
      <c r="C544" s="80" t="s">
        <v>321</v>
      </c>
      <c r="D544" s="79" t="s">
        <v>1</v>
      </c>
      <c r="E544" s="179">
        <v>3.638</v>
      </c>
      <c r="F544" s="81">
        <f>G560</f>
        <v>1858.75</v>
      </c>
      <c r="G544" s="66">
        <f aca="true" t="shared" si="34" ref="G544:G559">TRUNC(E544*F544,2)</f>
        <v>6762.13</v>
      </c>
      <c r="H544" s="34" t="s">
        <v>426</v>
      </c>
    </row>
    <row r="545" spans="1:8" s="33" customFormat="1" ht="47.25">
      <c r="A545" s="130"/>
      <c r="B545" s="131"/>
      <c r="C545" s="132" t="s">
        <v>468</v>
      </c>
      <c r="D545" s="131" t="s">
        <v>1</v>
      </c>
      <c r="E545" s="131">
        <v>1</v>
      </c>
      <c r="F545" s="133">
        <f>F561</f>
        <v>412.37</v>
      </c>
      <c r="G545" s="134">
        <f t="shared" si="34"/>
        <v>412.37</v>
      </c>
      <c r="H545" s="34"/>
    </row>
    <row r="546" spans="1:8" s="20" customFormat="1" ht="21">
      <c r="A546" s="82"/>
      <c r="B546" s="83" t="s">
        <v>144</v>
      </c>
      <c r="C546" s="84" t="s">
        <v>322</v>
      </c>
      <c r="D546" s="83" t="s">
        <v>125</v>
      </c>
      <c r="E546" s="83">
        <v>12</v>
      </c>
      <c r="F546" s="85">
        <f>TRUNC(4.18,2)</f>
        <v>4.18</v>
      </c>
      <c r="G546" s="71">
        <f t="shared" si="34"/>
        <v>50.16</v>
      </c>
      <c r="H546" s="34"/>
    </row>
    <row r="547" spans="1:8" s="20" customFormat="1" ht="21">
      <c r="A547" s="82"/>
      <c r="B547" s="83" t="s">
        <v>145</v>
      </c>
      <c r="C547" s="84" t="s">
        <v>323</v>
      </c>
      <c r="D547" s="83" t="s">
        <v>125</v>
      </c>
      <c r="E547" s="83">
        <v>10</v>
      </c>
      <c r="F547" s="85">
        <f>TRUNC(4.24,2)</f>
        <v>4.24</v>
      </c>
      <c r="G547" s="71">
        <f t="shared" si="34"/>
        <v>42.4</v>
      </c>
      <c r="H547" s="34"/>
    </row>
    <row r="548" spans="1:8" s="20" customFormat="1" ht="21">
      <c r="A548" s="82"/>
      <c r="B548" s="83" t="s">
        <v>146</v>
      </c>
      <c r="C548" s="84" t="s">
        <v>324</v>
      </c>
      <c r="D548" s="83" t="s">
        <v>125</v>
      </c>
      <c r="E548" s="83">
        <v>10</v>
      </c>
      <c r="F548" s="85">
        <f>TRUNC(3.4,2)</f>
        <v>3.4</v>
      </c>
      <c r="G548" s="71">
        <f t="shared" si="34"/>
        <v>34</v>
      </c>
      <c r="H548" s="34"/>
    </row>
    <row r="549" spans="1:8" s="20" customFormat="1" ht="21">
      <c r="A549" s="82"/>
      <c r="B549" s="83" t="s">
        <v>147</v>
      </c>
      <c r="C549" s="84" t="s">
        <v>325</v>
      </c>
      <c r="D549" s="83" t="s">
        <v>125</v>
      </c>
      <c r="E549" s="83">
        <v>4</v>
      </c>
      <c r="F549" s="85">
        <f>TRUNC(3.44,2)</f>
        <v>3.44</v>
      </c>
      <c r="G549" s="71">
        <f t="shared" si="34"/>
        <v>13.76</v>
      </c>
      <c r="H549" s="34"/>
    </row>
    <row r="550" spans="1:8" s="20" customFormat="1" ht="21">
      <c r="A550" s="82"/>
      <c r="B550" s="83" t="s">
        <v>148</v>
      </c>
      <c r="C550" s="84" t="s">
        <v>326</v>
      </c>
      <c r="D550" s="83" t="s">
        <v>125</v>
      </c>
      <c r="E550" s="83">
        <v>12</v>
      </c>
      <c r="F550" s="85">
        <f>TRUNC(3.92,2)</f>
        <v>3.92</v>
      </c>
      <c r="G550" s="71">
        <f t="shared" si="34"/>
        <v>47.04</v>
      </c>
      <c r="H550" s="34"/>
    </row>
    <row r="551" spans="1:8" s="20" customFormat="1" ht="21">
      <c r="A551" s="82"/>
      <c r="B551" s="83" t="s">
        <v>149</v>
      </c>
      <c r="C551" s="84" t="s">
        <v>327</v>
      </c>
      <c r="D551" s="83" t="s">
        <v>125</v>
      </c>
      <c r="E551" s="83">
        <v>12</v>
      </c>
      <c r="F551" s="85">
        <f>TRUNC(4.01,2)</f>
        <v>4.01</v>
      </c>
      <c r="G551" s="71">
        <f t="shared" si="34"/>
        <v>48.12</v>
      </c>
      <c r="H551" s="34"/>
    </row>
    <row r="552" spans="1:8" s="20" customFormat="1" ht="21">
      <c r="A552" s="82"/>
      <c r="B552" s="83" t="s">
        <v>142</v>
      </c>
      <c r="C552" s="84" t="s">
        <v>310</v>
      </c>
      <c r="D552" s="83" t="s">
        <v>125</v>
      </c>
      <c r="E552" s="83">
        <v>1.8</v>
      </c>
      <c r="F552" s="85">
        <f>TRUNC(5.4325,2)</f>
        <v>5.43</v>
      </c>
      <c r="G552" s="71">
        <f t="shared" si="34"/>
        <v>9.77</v>
      </c>
      <c r="H552" s="34"/>
    </row>
    <row r="553" spans="1:8" s="20" customFormat="1" ht="21">
      <c r="A553" s="82"/>
      <c r="B553" s="83" t="s">
        <v>209</v>
      </c>
      <c r="C553" s="84" t="s">
        <v>210</v>
      </c>
      <c r="D553" s="83" t="s">
        <v>128</v>
      </c>
      <c r="E553" s="83">
        <v>9.4245</v>
      </c>
      <c r="F553" s="85">
        <f>TRUNC(14.47,2)</f>
        <v>14.47</v>
      </c>
      <c r="G553" s="71">
        <f t="shared" si="34"/>
        <v>136.37</v>
      </c>
      <c r="H553" s="34"/>
    </row>
    <row r="554" spans="1:8" s="20" customFormat="1" ht="21">
      <c r="A554" s="82"/>
      <c r="B554" s="83" t="s">
        <v>311</v>
      </c>
      <c r="C554" s="84" t="s">
        <v>312</v>
      </c>
      <c r="D554" s="83" t="s">
        <v>128</v>
      </c>
      <c r="E554" s="83">
        <v>6.3345</v>
      </c>
      <c r="F554" s="85">
        <f>TRUNC(19.97,2)</f>
        <v>19.97</v>
      </c>
      <c r="G554" s="71">
        <f t="shared" si="34"/>
        <v>126.49</v>
      </c>
      <c r="H554" s="34"/>
    </row>
    <row r="555" spans="1:8" s="20" customFormat="1" ht="30">
      <c r="A555" s="82"/>
      <c r="B555" s="83" t="s">
        <v>328</v>
      </c>
      <c r="C555" s="84" t="s">
        <v>329</v>
      </c>
      <c r="D555" s="83" t="s">
        <v>128</v>
      </c>
      <c r="E555" s="83">
        <v>0.515</v>
      </c>
      <c r="F555" s="85">
        <f>TRUNC(19.97,2)</f>
        <v>19.97</v>
      </c>
      <c r="G555" s="71">
        <f t="shared" si="34"/>
        <v>10.28</v>
      </c>
      <c r="H555" s="34"/>
    </row>
    <row r="556" spans="1:8" s="20" customFormat="1" ht="21">
      <c r="A556" s="82"/>
      <c r="B556" s="83" t="s">
        <v>299</v>
      </c>
      <c r="C556" s="84" t="s">
        <v>300</v>
      </c>
      <c r="D556" s="83" t="s">
        <v>128</v>
      </c>
      <c r="E556" s="83">
        <v>0.515</v>
      </c>
      <c r="F556" s="85">
        <f>TRUNC(19.97,2)</f>
        <v>19.97</v>
      </c>
      <c r="G556" s="71">
        <f t="shared" si="34"/>
        <v>10.28</v>
      </c>
      <c r="H556" s="34"/>
    </row>
    <row r="557" spans="1:8" s="33" customFormat="1" ht="21">
      <c r="A557" s="130"/>
      <c r="B557" s="131" t="s">
        <v>330</v>
      </c>
      <c r="C557" s="132" t="s">
        <v>331</v>
      </c>
      <c r="D557" s="131" t="s">
        <v>0</v>
      </c>
      <c r="E557" s="131">
        <v>12.61</v>
      </c>
      <c r="F557" s="133">
        <f>TRUNC(72.7339,2)</f>
        <v>72.73</v>
      </c>
      <c r="G557" s="134">
        <f t="shared" si="34"/>
        <v>917.12</v>
      </c>
      <c r="H557" s="34" t="s">
        <v>469</v>
      </c>
    </row>
    <row r="558" spans="1:8" s="20" customFormat="1" ht="21">
      <c r="A558" s="82"/>
      <c r="B558" s="83" t="s">
        <v>332</v>
      </c>
      <c r="C558" s="84" t="s">
        <v>333</v>
      </c>
      <c r="D558" s="83" t="s">
        <v>128</v>
      </c>
      <c r="E558" s="83">
        <v>0.805</v>
      </c>
      <c r="F558" s="85">
        <f>TRUNC(0.2686,2)</f>
        <v>0.26</v>
      </c>
      <c r="G558" s="71">
        <f t="shared" si="34"/>
        <v>0.2</v>
      </c>
      <c r="H558" s="34"/>
    </row>
    <row r="559" spans="1:8" s="20" customFormat="1" ht="21">
      <c r="A559" s="82"/>
      <c r="B559" s="83" t="s">
        <v>334</v>
      </c>
      <c r="C559" s="84" t="s">
        <v>335</v>
      </c>
      <c r="D559" s="83" t="s">
        <v>128</v>
      </c>
      <c r="E559" s="83">
        <v>0.345</v>
      </c>
      <c r="F559" s="85">
        <f>TRUNC(1.1556,2)</f>
        <v>1.15</v>
      </c>
      <c r="G559" s="71">
        <f t="shared" si="34"/>
        <v>0.39</v>
      </c>
      <c r="H559" s="34"/>
    </row>
    <row r="560" spans="1:8" s="20" customFormat="1" ht="21">
      <c r="A560" s="82"/>
      <c r="B560" s="83"/>
      <c r="C560" s="84"/>
      <c r="D560" s="83"/>
      <c r="E560" s="131" t="s">
        <v>3</v>
      </c>
      <c r="F560" s="85"/>
      <c r="G560" s="71">
        <f>TRUNC(SUM(G545:G559),2)</f>
        <v>1858.75</v>
      </c>
      <c r="H560" s="34"/>
    </row>
    <row r="561" spans="1:7" s="20" customFormat="1" ht="45">
      <c r="A561" s="82"/>
      <c r="B561" s="83" t="s">
        <v>336</v>
      </c>
      <c r="C561" s="84" t="s">
        <v>337</v>
      </c>
      <c r="D561" s="83" t="s">
        <v>1</v>
      </c>
      <c r="E561" s="83">
        <v>1</v>
      </c>
      <c r="F561" s="85">
        <f>G567</f>
        <v>412.37</v>
      </c>
      <c r="G561" s="71">
        <f aca="true" t="shared" si="35" ref="G561:G566">TRUNC(E561*F561,2)</f>
        <v>412.37</v>
      </c>
    </row>
    <row r="562" spans="1:7" s="20" customFormat="1" ht="15.75">
      <c r="A562" s="82"/>
      <c r="B562" s="83" t="s">
        <v>134</v>
      </c>
      <c r="C562" s="84" t="s">
        <v>260</v>
      </c>
      <c r="D562" s="83" t="s">
        <v>53</v>
      </c>
      <c r="E562" s="83">
        <v>1.208865</v>
      </c>
      <c r="F562" s="85">
        <f>TRUNC(52.215,2)</f>
        <v>52.21</v>
      </c>
      <c r="G562" s="71">
        <f t="shared" si="35"/>
        <v>63.11</v>
      </c>
    </row>
    <row r="563" spans="1:7" s="20" customFormat="1" ht="15.75">
      <c r="A563" s="82"/>
      <c r="B563" s="83" t="s">
        <v>135</v>
      </c>
      <c r="C563" s="84" t="s">
        <v>261</v>
      </c>
      <c r="D563" s="83" t="s">
        <v>125</v>
      </c>
      <c r="E563" s="83">
        <v>409.5</v>
      </c>
      <c r="F563" s="85">
        <f>TRUNC(0.35,2)</f>
        <v>0.35</v>
      </c>
      <c r="G563" s="71">
        <f t="shared" si="35"/>
        <v>143.32</v>
      </c>
    </row>
    <row r="564" spans="1:7" s="20" customFormat="1" ht="15.75">
      <c r="A564" s="82"/>
      <c r="B564" s="83" t="s">
        <v>150</v>
      </c>
      <c r="C564" s="84" t="s">
        <v>338</v>
      </c>
      <c r="D564" s="83" t="s">
        <v>1</v>
      </c>
      <c r="E564" s="83">
        <v>0.6194999999999999</v>
      </c>
      <c r="F564" s="85">
        <f>TRUNC(50,2)</f>
        <v>50</v>
      </c>
      <c r="G564" s="71">
        <f t="shared" si="35"/>
        <v>30.97</v>
      </c>
    </row>
    <row r="565" spans="1:7" s="20" customFormat="1" ht="15.75">
      <c r="A565" s="82"/>
      <c r="B565" s="83" t="s">
        <v>339</v>
      </c>
      <c r="C565" s="84" t="s">
        <v>340</v>
      </c>
      <c r="D565" s="83" t="s">
        <v>1</v>
      </c>
      <c r="E565" s="83">
        <v>1</v>
      </c>
      <c r="F565" s="85">
        <f>TRUNC(103.5194,2)</f>
        <v>103.51</v>
      </c>
      <c r="G565" s="71">
        <f t="shared" si="35"/>
        <v>103.51</v>
      </c>
    </row>
    <row r="566" spans="1:7" s="20" customFormat="1" ht="15.75">
      <c r="A566" s="82"/>
      <c r="B566" s="83" t="s">
        <v>341</v>
      </c>
      <c r="C566" s="84" t="s">
        <v>342</v>
      </c>
      <c r="D566" s="83" t="s">
        <v>1</v>
      </c>
      <c r="E566" s="83">
        <v>1</v>
      </c>
      <c r="F566" s="85">
        <f>TRUNC(71.468,2)</f>
        <v>71.46</v>
      </c>
      <c r="G566" s="71">
        <f t="shared" si="35"/>
        <v>71.46</v>
      </c>
    </row>
    <row r="567" spans="1:7" s="20" customFormat="1" ht="15.75">
      <c r="A567" s="82"/>
      <c r="B567" s="83"/>
      <c r="C567" s="84"/>
      <c r="D567" s="83"/>
      <c r="E567" s="83" t="s">
        <v>3</v>
      </c>
      <c r="F567" s="85"/>
      <c r="G567" s="71">
        <f>TRUNC(SUM(G562:G566),2)</f>
        <v>412.37</v>
      </c>
    </row>
    <row r="568" spans="1:8" s="33" customFormat="1" ht="75">
      <c r="A568" s="31" t="s">
        <v>578</v>
      </c>
      <c r="B568" s="86" t="s">
        <v>66</v>
      </c>
      <c r="C568" s="87" t="s">
        <v>93</v>
      </c>
      <c r="D568" s="86" t="s">
        <v>9</v>
      </c>
      <c r="E568" s="86"/>
      <c r="F568" s="99">
        <f>TRUNC(G569,2)</f>
        <v>1160.25</v>
      </c>
      <c r="G568" s="73">
        <f>TRUNC((E568*F568),2)</f>
        <v>0</v>
      </c>
      <c r="H568" s="187" t="s">
        <v>428</v>
      </c>
    </row>
    <row r="569" spans="1:8" s="20" customFormat="1" ht="75">
      <c r="A569" s="78"/>
      <c r="B569" s="79" t="s">
        <v>320</v>
      </c>
      <c r="C569" s="80" t="s">
        <v>321</v>
      </c>
      <c r="D569" s="79" t="s">
        <v>1</v>
      </c>
      <c r="E569" s="179">
        <v>0.932</v>
      </c>
      <c r="F569" s="81">
        <f>G585</f>
        <v>1244.91</v>
      </c>
      <c r="G569" s="66">
        <f aca="true" t="shared" si="36" ref="G569:G584">TRUNC(E569*F569,2)</f>
        <v>1160.25</v>
      </c>
      <c r="H569" s="34" t="s">
        <v>426</v>
      </c>
    </row>
    <row r="570" spans="1:8" s="33" customFormat="1" ht="47.25">
      <c r="A570" s="130"/>
      <c r="B570" s="131"/>
      <c r="C570" s="132" t="s">
        <v>468</v>
      </c>
      <c r="D570" s="131" t="s">
        <v>1</v>
      </c>
      <c r="E570" s="131">
        <v>1</v>
      </c>
      <c r="F570" s="133">
        <f>F586</f>
        <v>412.37</v>
      </c>
      <c r="G570" s="134">
        <f t="shared" si="36"/>
        <v>412.37</v>
      </c>
      <c r="H570" s="34"/>
    </row>
    <row r="571" spans="1:8" s="20" customFormat="1" ht="21">
      <c r="A571" s="82"/>
      <c r="B571" s="83" t="s">
        <v>144</v>
      </c>
      <c r="C571" s="84" t="s">
        <v>322</v>
      </c>
      <c r="D571" s="83" t="s">
        <v>125</v>
      </c>
      <c r="E571" s="83">
        <v>12</v>
      </c>
      <c r="F571" s="85">
        <f>TRUNC(4.18,2)</f>
        <v>4.18</v>
      </c>
      <c r="G571" s="71">
        <f t="shared" si="36"/>
        <v>50.16</v>
      </c>
      <c r="H571" s="34"/>
    </row>
    <row r="572" spans="1:8" s="20" customFormat="1" ht="21">
      <c r="A572" s="82"/>
      <c r="B572" s="83" t="s">
        <v>145</v>
      </c>
      <c r="C572" s="84" t="s">
        <v>323</v>
      </c>
      <c r="D572" s="83" t="s">
        <v>125</v>
      </c>
      <c r="E572" s="83">
        <v>10</v>
      </c>
      <c r="F572" s="85">
        <f>TRUNC(4.24,2)</f>
        <v>4.24</v>
      </c>
      <c r="G572" s="71">
        <f t="shared" si="36"/>
        <v>42.4</v>
      </c>
      <c r="H572" s="34"/>
    </row>
    <row r="573" spans="1:8" s="20" customFormat="1" ht="21">
      <c r="A573" s="82"/>
      <c r="B573" s="83" t="s">
        <v>146</v>
      </c>
      <c r="C573" s="84" t="s">
        <v>324</v>
      </c>
      <c r="D573" s="83" t="s">
        <v>125</v>
      </c>
      <c r="E573" s="83">
        <v>10</v>
      </c>
      <c r="F573" s="85">
        <f>TRUNC(3.4,2)</f>
        <v>3.4</v>
      </c>
      <c r="G573" s="71">
        <f t="shared" si="36"/>
        <v>34</v>
      </c>
      <c r="H573" s="34"/>
    </row>
    <row r="574" spans="1:8" s="20" customFormat="1" ht="21">
      <c r="A574" s="82"/>
      <c r="B574" s="83" t="s">
        <v>147</v>
      </c>
      <c r="C574" s="84" t="s">
        <v>325</v>
      </c>
      <c r="D574" s="83" t="s">
        <v>125</v>
      </c>
      <c r="E574" s="83">
        <v>4</v>
      </c>
      <c r="F574" s="85">
        <f>TRUNC(3.44,2)</f>
        <v>3.44</v>
      </c>
      <c r="G574" s="71">
        <f t="shared" si="36"/>
        <v>13.76</v>
      </c>
      <c r="H574" s="34"/>
    </row>
    <row r="575" spans="1:8" s="20" customFormat="1" ht="21">
      <c r="A575" s="82"/>
      <c r="B575" s="83" t="s">
        <v>148</v>
      </c>
      <c r="C575" s="84" t="s">
        <v>326</v>
      </c>
      <c r="D575" s="83" t="s">
        <v>125</v>
      </c>
      <c r="E575" s="83">
        <v>12</v>
      </c>
      <c r="F575" s="85">
        <f>TRUNC(3.92,2)</f>
        <v>3.92</v>
      </c>
      <c r="G575" s="71">
        <f t="shared" si="36"/>
        <v>47.04</v>
      </c>
      <c r="H575" s="34"/>
    </row>
    <row r="576" spans="1:8" s="20" customFormat="1" ht="21">
      <c r="A576" s="82"/>
      <c r="B576" s="83" t="s">
        <v>149</v>
      </c>
      <c r="C576" s="84" t="s">
        <v>327</v>
      </c>
      <c r="D576" s="83" t="s">
        <v>125</v>
      </c>
      <c r="E576" s="83">
        <v>12</v>
      </c>
      <c r="F576" s="85">
        <f>TRUNC(4.01,2)</f>
        <v>4.01</v>
      </c>
      <c r="G576" s="71">
        <f t="shared" si="36"/>
        <v>48.12</v>
      </c>
      <c r="H576" s="34"/>
    </row>
    <row r="577" spans="1:8" s="20" customFormat="1" ht="21">
      <c r="A577" s="82"/>
      <c r="B577" s="83" t="s">
        <v>142</v>
      </c>
      <c r="C577" s="84" t="s">
        <v>310</v>
      </c>
      <c r="D577" s="83" t="s">
        <v>125</v>
      </c>
      <c r="E577" s="83">
        <v>1.8</v>
      </c>
      <c r="F577" s="85">
        <f>TRUNC(5.4325,2)</f>
        <v>5.43</v>
      </c>
      <c r="G577" s="71">
        <f t="shared" si="36"/>
        <v>9.77</v>
      </c>
      <c r="H577" s="34"/>
    </row>
    <row r="578" spans="1:8" s="20" customFormat="1" ht="21">
      <c r="A578" s="82"/>
      <c r="B578" s="83" t="s">
        <v>209</v>
      </c>
      <c r="C578" s="84" t="s">
        <v>210</v>
      </c>
      <c r="D578" s="83" t="s">
        <v>128</v>
      </c>
      <c r="E578" s="83">
        <v>9.4245</v>
      </c>
      <c r="F578" s="85">
        <f>TRUNC(14.47,2)</f>
        <v>14.47</v>
      </c>
      <c r="G578" s="71">
        <f t="shared" si="36"/>
        <v>136.37</v>
      </c>
      <c r="H578" s="34"/>
    </row>
    <row r="579" spans="1:8" s="20" customFormat="1" ht="21">
      <c r="A579" s="82"/>
      <c r="B579" s="83" t="s">
        <v>311</v>
      </c>
      <c r="C579" s="84" t="s">
        <v>312</v>
      </c>
      <c r="D579" s="83" t="s">
        <v>128</v>
      </c>
      <c r="E579" s="83">
        <v>6.3345</v>
      </c>
      <c r="F579" s="85">
        <f>TRUNC(19.97,2)</f>
        <v>19.97</v>
      </c>
      <c r="G579" s="71">
        <f t="shared" si="36"/>
        <v>126.49</v>
      </c>
      <c r="H579" s="34"/>
    </row>
    <row r="580" spans="1:8" s="20" customFormat="1" ht="30">
      <c r="A580" s="82"/>
      <c r="B580" s="83" t="s">
        <v>328</v>
      </c>
      <c r="C580" s="84" t="s">
        <v>329</v>
      </c>
      <c r="D580" s="83" t="s">
        <v>128</v>
      </c>
      <c r="E580" s="83">
        <v>0.515</v>
      </c>
      <c r="F580" s="85">
        <f>TRUNC(19.97,2)</f>
        <v>19.97</v>
      </c>
      <c r="G580" s="71">
        <f t="shared" si="36"/>
        <v>10.28</v>
      </c>
      <c r="H580" s="34"/>
    </row>
    <row r="581" spans="1:8" s="20" customFormat="1" ht="21">
      <c r="A581" s="82"/>
      <c r="B581" s="83" t="s">
        <v>299</v>
      </c>
      <c r="C581" s="84" t="s">
        <v>300</v>
      </c>
      <c r="D581" s="83" t="s">
        <v>128</v>
      </c>
      <c r="E581" s="83">
        <v>0.515</v>
      </c>
      <c r="F581" s="85">
        <f>TRUNC(19.97,2)</f>
        <v>19.97</v>
      </c>
      <c r="G581" s="71">
        <f t="shared" si="36"/>
        <v>10.28</v>
      </c>
      <c r="H581" s="34"/>
    </row>
    <row r="582" spans="1:8" s="20" customFormat="1" ht="21">
      <c r="A582" s="130"/>
      <c r="B582" s="131" t="s">
        <v>330</v>
      </c>
      <c r="C582" s="132" t="s">
        <v>331</v>
      </c>
      <c r="D582" s="131" t="s">
        <v>0</v>
      </c>
      <c r="E582" s="131">
        <v>4.17</v>
      </c>
      <c r="F582" s="133">
        <f>TRUNC(72.7339,2)</f>
        <v>72.73</v>
      </c>
      <c r="G582" s="134">
        <f t="shared" si="36"/>
        <v>303.28</v>
      </c>
      <c r="H582" s="34" t="s">
        <v>469</v>
      </c>
    </row>
    <row r="583" spans="1:8" s="20" customFormat="1" ht="21">
      <c r="A583" s="82"/>
      <c r="B583" s="83" t="s">
        <v>332</v>
      </c>
      <c r="C583" s="84" t="s">
        <v>333</v>
      </c>
      <c r="D583" s="83" t="s">
        <v>128</v>
      </c>
      <c r="E583" s="83">
        <v>0.805</v>
      </c>
      <c r="F583" s="85">
        <f>TRUNC(0.2686,2)</f>
        <v>0.26</v>
      </c>
      <c r="G583" s="71">
        <f t="shared" si="36"/>
        <v>0.2</v>
      </c>
      <c r="H583" s="34"/>
    </row>
    <row r="584" spans="1:8" s="20" customFormat="1" ht="21">
      <c r="A584" s="82"/>
      <c r="B584" s="83" t="s">
        <v>334</v>
      </c>
      <c r="C584" s="84" t="s">
        <v>335</v>
      </c>
      <c r="D584" s="83" t="s">
        <v>128</v>
      </c>
      <c r="E584" s="83">
        <v>0.345</v>
      </c>
      <c r="F584" s="85">
        <f>TRUNC(1.1556,2)</f>
        <v>1.15</v>
      </c>
      <c r="G584" s="71">
        <f t="shared" si="36"/>
        <v>0.39</v>
      </c>
      <c r="H584" s="34"/>
    </row>
    <row r="585" spans="1:8" s="20" customFormat="1" ht="21">
      <c r="A585" s="82"/>
      <c r="B585" s="83"/>
      <c r="C585" s="84"/>
      <c r="D585" s="83"/>
      <c r="E585" s="131" t="s">
        <v>3</v>
      </c>
      <c r="F585" s="85"/>
      <c r="G585" s="71">
        <f>TRUNC(SUM(G570:G584),2)</f>
        <v>1244.91</v>
      </c>
      <c r="H585" s="34"/>
    </row>
    <row r="586" spans="1:7" s="20" customFormat="1" ht="45">
      <c r="A586" s="82"/>
      <c r="B586" s="83" t="s">
        <v>336</v>
      </c>
      <c r="C586" s="84" t="s">
        <v>337</v>
      </c>
      <c r="D586" s="83" t="s">
        <v>1</v>
      </c>
      <c r="E586" s="83">
        <v>1</v>
      </c>
      <c r="F586" s="85">
        <f>G592</f>
        <v>412.37</v>
      </c>
      <c r="G586" s="71">
        <f aca="true" t="shared" si="37" ref="G586:G591">TRUNC(E586*F586,2)</f>
        <v>412.37</v>
      </c>
    </row>
    <row r="587" spans="1:7" s="20" customFormat="1" ht="15.75">
      <c r="A587" s="82"/>
      <c r="B587" s="83" t="s">
        <v>134</v>
      </c>
      <c r="C587" s="84" t="s">
        <v>260</v>
      </c>
      <c r="D587" s="83" t="s">
        <v>53</v>
      </c>
      <c r="E587" s="83">
        <v>1.208865</v>
      </c>
      <c r="F587" s="85">
        <f>TRUNC(52.215,2)</f>
        <v>52.21</v>
      </c>
      <c r="G587" s="71">
        <f t="shared" si="37"/>
        <v>63.11</v>
      </c>
    </row>
    <row r="588" spans="1:7" s="20" customFormat="1" ht="15.75">
      <c r="A588" s="82"/>
      <c r="B588" s="83" t="s">
        <v>135</v>
      </c>
      <c r="C588" s="84" t="s">
        <v>261</v>
      </c>
      <c r="D588" s="83" t="s">
        <v>125</v>
      </c>
      <c r="E588" s="83">
        <v>409.5</v>
      </c>
      <c r="F588" s="85">
        <f>TRUNC(0.35,2)</f>
        <v>0.35</v>
      </c>
      <c r="G588" s="71">
        <f t="shared" si="37"/>
        <v>143.32</v>
      </c>
    </row>
    <row r="589" spans="1:7" s="20" customFormat="1" ht="15.75">
      <c r="A589" s="82"/>
      <c r="B589" s="83" t="s">
        <v>150</v>
      </c>
      <c r="C589" s="84" t="s">
        <v>338</v>
      </c>
      <c r="D589" s="83" t="s">
        <v>1</v>
      </c>
      <c r="E589" s="83">
        <v>0.6194999999999999</v>
      </c>
      <c r="F589" s="85">
        <f>TRUNC(50,2)</f>
        <v>50</v>
      </c>
      <c r="G589" s="71">
        <f t="shared" si="37"/>
        <v>30.97</v>
      </c>
    </row>
    <row r="590" spans="1:7" s="20" customFormat="1" ht="15.75">
      <c r="A590" s="82"/>
      <c r="B590" s="83" t="s">
        <v>339</v>
      </c>
      <c r="C590" s="84" t="s">
        <v>340</v>
      </c>
      <c r="D590" s="83" t="s">
        <v>1</v>
      </c>
      <c r="E590" s="83">
        <v>1</v>
      </c>
      <c r="F590" s="85">
        <f>TRUNC(103.5194,2)</f>
        <v>103.51</v>
      </c>
      <c r="G590" s="71">
        <f t="shared" si="37"/>
        <v>103.51</v>
      </c>
    </row>
    <row r="591" spans="1:7" s="20" customFormat="1" ht="15.75">
      <c r="A591" s="82"/>
      <c r="B591" s="83" t="s">
        <v>341</v>
      </c>
      <c r="C591" s="84" t="s">
        <v>342</v>
      </c>
      <c r="D591" s="83" t="s">
        <v>1</v>
      </c>
      <c r="E591" s="83">
        <v>1</v>
      </c>
      <c r="F591" s="85">
        <f>TRUNC(71.468,2)</f>
        <v>71.46</v>
      </c>
      <c r="G591" s="71">
        <f t="shared" si="37"/>
        <v>71.46</v>
      </c>
    </row>
    <row r="592" spans="1:7" s="20" customFormat="1" ht="15.75">
      <c r="A592" s="82"/>
      <c r="B592" s="83"/>
      <c r="C592" s="84"/>
      <c r="D592" s="83"/>
      <c r="E592" s="83" t="s">
        <v>3</v>
      </c>
      <c r="F592" s="85"/>
      <c r="G592" s="71">
        <f>TRUNC(SUM(G587:G591),2)</f>
        <v>412.37</v>
      </c>
    </row>
    <row r="593" spans="1:8" s="33" customFormat="1" ht="75">
      <c r="A593" s="31" t="s">
        <v>579</v>
      </c>
      <c r="B593" s="86" t="s">
        <v>66</v>
      </c>
      <c r="C593" s="87" t="s">
        <v>93</v>
      </c>
      <c r="D593" s="86" t="s">
        <v>9</v>
      </c>
      <c r="E593" s="86"/>
      <c r="F593" s="99">
        <f>TRUNC(G594,2)</f>
        <v>4137.16</v>
      </c>
      <c r="G593" s="73">
        <f>TRUNC((E593*F593),2)</f>
        <v>0</v>
      </c>
      <c r="H593" s="180" t="s">
        <v>430</v>
      </c>
    </row>
    <row r="594" spans="1:8" s="20" customFormat="1" ht="75">
      <c r="A594" s="78"/>
      <c r="B594" s="79" t="s">
        <v>320</v>
      </c>
      <c r="C594" s="80" t="s">
        <v>321</v>
      </c>
      <c r="D594" s="79" t="s">
        <v>1</v>
      </c>
      <c r="E594" s="179">
        <v>2.514</v>
      </c>
      <c r="F594" s="81">
        <f>G610</f>
        <v>1645.65</v>
      </c>
      <c r="G594" s="66">
        <f aca="true" t="shared" si="38" ref="G594:G609">TRUNC(E594*F594,2)</f>
        <v>4137.16</v>
      </c>
      <c r="H594" s="34" t="s">
        <v>426</v>
      </c>
    </row>
    <row r="595" spans="1:8" s="33" customFormat="1" ht="47.25">
      <c r="A595" s="130"/>
      <c r="B595" s="131"/>
      <c r="C595" s="132" t="s">
        <v>468</v>
      </c>
      <c r="D595" s="131" t="s">
        <v>1</v>
      </c>
      <c r="E595" s="131">
        <v>1</v>
      </c>
      <c r="F595" s="133">
        <f>F611</f>
        <v>412.37</v>
      </c>
      <c r="G595" s="134">
        <f t="shared" si="38"/>
        <v>412.37</v>
      </c>
      <c r="H595" s="34"/>
    </row>
    <row r="596" spans="1:8" s="20" customFormat="1" ht="21">
      <c r="A596" s="82"/>
      <c r="B596" s="83" t="s">
        <v>144</v>
      </c>
      <c r="C596" s="84" t="s">
        <v>322</v>
      </c>
      <c r="D596" s="83" t="s">
        <v>125</v>
      </c>
      <c r="E596" s="83">
        <v>12</v>
      </c>
      <c r="F596" s="85">
        <f>TRUNC(4.18,2)</f>
        <v>4.18</v>
      </c>
      <c r="G596" s="71">
        <f t="shared" si="38"/>
        <v>50.16</v>
      </c>
      <c r="H596" s="34"/>
    </row>
    <row r="597" spans="1:8" s="20" customFormat="1" ht="21">
      <c r="A597" s="82"/>
      <c r="B597" s="83" t="s">
        <v>145</v>
      </c>
      <c r="C597" s="84" t="s">
        <v>323</v>
      </c>
      <c r="D597" s="83" t="s">
        <v>125</v>
      </c>
      <c r="E597" s="83">
        <v>10</v>
      </c>
      <c r="F597" s="85">
        <f>TRUNC(4.24,2)</f>
        <v>4.24</v>
      </c>
      <c r="G597" s="71">
        <f t="shared" si="38"/>
        <v>42.4</v>
      </c>
      <c r="H597" s="34"/>
    </row>
    <row r="598" spans="1:8" s="20" customFormat="1" ht="21">
      <c r="A598" s="82"/>
      <c r="B598" s="83" t="s">
        <v>146</v>
      </c>
      <c r="C598" s="84" t="s">
        <v>324</v>
      </c>
      <c r="D598" s="83" t="s">
        <v>125</v>
      </c>
      <c r="E598" s="83">
        <v>10</v>
      </c>
      <c r="F598" s="85">
        <f>TRUNC(3.4,2)</f>
        <v>3.4</v>
      </c>
      <c r="G598" s="71">
        <f t="shared" si="38"/>
        <v>34</v>
      </c>
      <c r="H598" s="34"/>
    </row>
    <row r="599" spans="1:8" s="20" customFormat="1" ht="21">
      <c r="A599" s="82"/>
      <c r="B599" s="83" t="s">
        <v>147</v>
      </c>
      <c r="C599" s="84" t="s">
        <v>325</v>
      </c>
      <c r="D599" s="83" t="s">
        <v>125</v>
      </c>
      <c r="E599" s="83">
        <v>4</v>
      </c>
      <c r="F599" s="85">
        <f>TRUNC(3.44,2)</f>
        <v>3.44</v>
      </c>
      <c r="G599" s="71">
        <f t="shared" si="38"/>
        <v>13.76</v>
      </c>
      <c r="H599" s="34"/>
    </row>
    <row r="600" spans="1:8" s="20" customFormat="1" ht="21">
      <c r="A600" s="82"/>
      <c r="B600" s="83" t="s">
        <v>148</v>
      </c>
      <c r="C600" s="84" t="s">
        <v>326</v>
      </c>
      <c r="D600" s="83" t="s">
        <v>125</v>
      </c>
      <c r="E600" s="83">
        <v>12</v>
      </c>
      <c r="F600" s="85">
        <f>TRUNC(3.92,2)</f>
        <v>3.92</v>
      </c>
      <c r="G600" s="71">
        <f t="shared" si="38"/>
        <v>47.04</v>
      </c>
      <c r="H600" s="34"/>
    </row>
    <row r="601" spans="1:8" s="20" customFormat="1" ht="21">
      <c r="A601" s="82"/>
      <c r="B601" s="83" t="s">
        <v>149</v>
      </c>
      <c r="C601" s="84" t="s">
        <v>327</v>
      </c>
      <c r="D601" s="83" t="s">
        <v>125</v>
      </c>
      <c r="E601" s="83">
        <v>12</v>
      </c>
      <c r="F601" s="85">
        <f>TRUNC(4.01,2)</f>
        <v>4.01</v>
      </c>
      <c r="G601" s="71">
        <f t="shared" si="38"/>
        <v>48.12</v>
      </c>
      <c r="H601" s="34"/>
    </row>
    <row r="602" spans="1:8" s="20" customFormat="1" ht="21">
      <c r="A602" s="82"/>
      <c r="B602" s="83" t="s">
        <v>142</v>
      </c>
      <c r="C602" s="84" t="s">
        <v>310</v>
      </c>
      <c r="D602" s="83" t="s">
        <v>125</v>
      </c>
      <c r="E602" s="83">
        <v>1.8</v>
      </c>
      <c r="F602" s="85">
        <f>TRUNC(5.4325,2)</f>
        <v>5.43</v>
      </c>
      <c r="G602" s="71">
        <f t="shared" si="38"/>
        <v>9.77</v>
      </c>
      <c r="H602" s="34"/>
    </row>
    <row r="603" spans="1:8" s="20" customFormat="1" ht="21">
      <c r="A603" s="82"/>
      <c r="B603" s="83" t="s">
        <v>209</v>
      </c>
      <c r="C603" s="84" t="s">
        <v>210</v>
      </c>
      <c r="D603" s="83" t="s">
        <v>128</v>
      </c>
      <c r="E603" s="83">
        <v>9.4245</v>
      </c>
      <c r="F603" s="85">
        <f>TRUNC(14.47,2)</f>
        <v>14.47</v>
      </c>
      <c r="G603" s="71">
        <f t="shared" si="38"/>
        <v>136.37</v>
      </c>
      <c r="H603" s="34"/>
    </row>
    <row r="604" spans="1:8" s="20" customFormat="1" ht="21">
      <c r="A604" s="82"/>
      <c r="B604" s="83" t="s">
        <v>311</v>
      </c>
      <c r="C604" s="84" t="s">
        <v>312</v>
      </c>
      <c r="D604" s="83" t="s">
        <v>128</v>
      </c>
      <c r="E604" s="83">
        <v>6.3345</v>
      </c>
      <c r="F604" s="85">
        <f>TRUNC(19.97,2)</f>
        <v>19.97</v>
      </c>
      <c r="G604" s="71">
        <f t="shared" si="38"/>
        <v>126.49</v>
      </c>
      <c r="H604" s="34"/>
    </row>
    <row r="605" spans="1:8" s="20" customFormat="1" ht="30">
      <c r="A605" s="82"/>
      <c r="B605" s="83" t="s">
        <v>328</v>
      </c>
      <c r="C605" s="84" t="s">
        <v>329</v>
      </c>
      <c r="D605" s="83" t="s">
        <v>128</v>
      </c>
      <c r="E605" s="83">
        <v>0.515</v>
      </c>
      <c r="F605" s="85">
        <f>TRUNC(19.97,2)</f>
        <v>19.97</v>
      </c>
      <c r="G605" s="71">
        <f t="shared" si="38"/>
        <v>10.28</v>
      </c>
      <c r="H605" s="34"/>
    </row>
    <row r="606" spans="1:8" s="20" customFormat="1" ht="21">
      <c r="A606" s="82"/>
      <c r="B606" s="83" t="s">
        <v>299</v>
      </c>
      <c r="C606" s="84" t="s">
        <v>300</v>
      </c>
      <c r="D606" s="83" t="s">
        <v>128</v>
      </c>
      <c r="E606" s="83">
        <v>0.515</v>
      </c>
      <c r="F606" s="85">
        <f>TRUNC(19.97,2)</f>
        <v>19.97</v>
      </c>
      <c r="G606" s="71">
        <f t="shared" si="38"/>
        <v>10.28</v>
      </c>
      <c r="H606" s="34"/>
    </row>
    <row r="607" spans="1:8" s="20" customFormat="1" ht="21">
      <c r="A607" s="130"/>
      <c r="B607" s="131" t="s">
        <v>330</v>
      </c>
      <c r="C607" s="132" t="s">
        <v>331</v>
      </c>
      <c r="D607" s="131" t="s">
        <v>0</v>
      </c>
      <c r="E607" s="131">
        <v>9.68</v>
      </c>
      <c r="F607" s="133">
        <f>TRUNC(72.7339,2)</f>
        <v>72.73</v>
      </c>
      <c r="G607" s="134">
        <f t="shared" si="38"/>
        <v>704.02</v>
      </c>
      <c r="H607" s="34" t="s">
        <v>469</v>
      </c>
    </row>
    <row r="608" spans="1:8" s="20" customFormat="1" ht="21">
      <c r="A608" s="82"/>
      <c r="B608" s="83" t="s">
        <v>332</v>
      </c>
      <c r="C608" s="84" t="s">
        <v>333</v>
      </c>
      <c r="D608" s="83" t="s">
        <v>128</v>
      </c>
      <c r="E608" s="83">
        <v>0.805</v>
      </c>
      <c r="F608" s="85">
        <f>TRUNC(0.2686,2)</f>
        <v>0.26</v>
      </c>
      <c r="G608" s="71">
        <f t="shared" si="38"/>
        <v>0.2</v>
      </c>
      <c r="H608" s="34"/>
    </row>
    <row r="609" spans="1:8" s="20" customFormat="1" ht="21">
      <c r="A609" s="82"/>
      <c r="B609" s="83" t="s">
        <v>334</v>
      </c>
      <c r="C609" s="84" t="s">
        <v>335</v>
      </c>
      <c r="D609" s="83" t="s">
        <v>128</v>
      </c>
      <c r="E609" s="83">
        <v>0.345</v>
      </c>
      <c r="F609" s="85">
        <f>TRUNC(1.1556,2)</f>
        <v>1.15</v>
      </c>
      <c r="G609" s="71">
        <f t="shared" si="38"/>
        <v>0.39</v>
      </c>
      <c r="H609" s="34"/>
    </row>
    <row r="610" spans="1:8" s="20" customFormat="1" ht="21">
      <c r="A610" s="82"/>
      <c r="B610" s="83"/>
      <c r="C610" s="84"/>
      <c r="D610" s="83"/>
      <c r="E610" s="131" t="s">
        <v>3</v>
      </c>
      <c r="F610" s="85"/>
      <c r="G610" s="71">
        <f>TRUNC(SUM(G595:G609),2)</f>
        <v>1645.65</v>
      </c>
      <c r="H610" s="34"/>
    </row>
    <row r="611" spans="1:7" s="20" customFormat="1" ht="45">
      <c r="A611" s="82"/>
      <c r="B611" s="83" t="s">
        <v>336</v>
      </c>
      <c r="C611" s="84" t="s">
        <v>337</v>
      </c>
      <c r="D611" s="83" t="s">
        <v>1</v>
      </c>
      <c r="E611" s="83">
        <v>1</v>
      </c>
      <c r="F611" s="85">
        <f>G617</f>
        <v>412.37</v>
      </c>
      <c r="G611" s="71">
        <f aca="true" t="shared" si="39" ref="G611:G616">TRUNC(E611*F611,2)</f>
        <v>412.37</v>
      </c>
    </row>
    <row r="612" spans="1:7" s="20" customFormat="1" ht="15.75">
      <c r="A612" s="82"/>
      <c r="B612" s="83" t="s">
        <v>134</v>
      </c>
      <c r="C612" s="84" t="s">
        <v>260</v>
      </c>
      <c r="D612" s="83" t="s">
        <v>53</v>
      </c>
      <c r="E612" s="83">
        <v>1.208865</v>
      </c>
      <c r="F612" s="85">
        <f>TRUNC(52.215,2)</f>
        <v>52.21</v>
      </c>
      <c r="G612" s="71">
        <f t="shared" si="39"/>
        <v>63.11</v>
      </c>
    </row>
    <row r="613" spans="1:7" s="20" customFormat="1" ht="15.75">
      <c r="A613" s="82"/>
      <c r="B613" s="83" t="s">
        <v>135</v>
      </c>
      <c r="C613" s="84" t="s">
        <v>261</v>
      </c>
      <c r="D613" s="83" t="s">
        <v>125</v>
      </c>
      <c r="E613" s="83">
        <v>409.5</v>
      </c>
      <c r="F613" s="85">
        <f>TRUNC(0.35,2)</f>
        <v>0.35</v>
      </c>
      <c r="G613" s="71">
        <f t="shared" si="39"/>
        <v>143.32</v>
      </c>
    </row>
    <row r="614" spans="1:7" s="20" customFormat="1" ht="15.75">
      <c r="A614" s="82"/>
      <c r="B614" s="83" t="s">
        <v>150</v>
      </c>
      <c r="C614" s="84" t="s">
        <v>338</v>
      </c>
      <c r="D614" s="83" t="s">
        <v>1</v>
      </c>
      <c r="E614" s="83">
        <v>0.6194999999999999</v>
      </c>
      <c r="F614" s="85">
        <f>TRUNC(50,2)</f>
        <v>50</v>
      </c>
      <c r="G614" s="71">
        <f t="shared" si="39"/>
        <v>30.97</v>
      </c>
    </row>
    <row r="615" spans="1:7" s="20" customFormat="1" ht="15.75">
      <c r="A615" s="82"/>
      <c r="B615" s="83" t="s">
        <v>339</v>
      </c>
      <c r="C615" s="84" t="s">
        <v>340</v>
      </c>
      <c r="D615" s="83" t="s">
        <v>1</v>
      </c>
      <c r="E615" s="83">
        <v>1</v>
      </c>
      <c r="F615" s="85">
        <f>TRUNC(103.5194,2)</f>
        <v>103.51</v>
      </c>
      <c r="G615" s="71">
        <f t="shared" si="39"/>
        <v>103.51</v>
      </c>
    </row>
    <row r="616" spans="1:7" s="20" customFormat="1" ht="15.75">
      <c r="A616" s="82"/>
      <c r="B616" s="83" t="s">
        <v>341</v>
      </c>
      <c r="C616" s="84" t="s">
        <v>342</v>
      </c>
      <c r="D616" s="83" t="s">
        <v>1</v>
      </c>
      <c r="E616" s="83">
        <v>1</v>
      </c>
      <c r="F616" s="85">
        <f>TRUNC(71.468,2)</f>
        <v>71.46</v>
      </c>
      <c r="G616" s="71">
        <f t="shared" si="39"/>
        <v>71.46</v>
      </c>
    </row>
    <row r="617" spans="1:7" s="20" customFormat="1" ht="15.75">
      <c r="A617" s="82"/>
      <c r="B617" s="83"/>
      <c r="C617" s="84"/>
      <c r="D617" s="83"/>
      <c r="E617" s="83" t="s">
        <v>3</v>
      </c>
      <c r="F617" s="85"/>
      <c r="G617" s="71">
        <f>TRUNC(SUM(G612:G616),2)</f>
        <v>412.37</v>
      </c>
    </row>
    <row r="618" spans="1:7" s="20" customFormat="1" ht="105">
      <c r="A618" s="31" t="s">
        <v>618</v>
      </c>
      <c r="B618" s="98" t="s">
        <v>738</v>
      </c>
      <c r="C618" s="87" t="s">
        <v>595</v>
      </c>
      <c r="D618" s="86" t="s">
        <v>9</v>
      </c>
      <c r="E618" s="172"/>
      <c r="F618" s="99">
        <f>TRUNC((F619+G630+G637),2)</f>
        <v>3726.99</v>
      </c>
      <c r="G618" s="73">
        <f>TRUNC((E618*F618),2)</f>
        <v>0</v>
      </c>
    </row>
    <row r="619" spans="1:7" s="20" customFormat="1" ht="75">
      <c r="A619" s="184" t="s">
        <v>151</v>
      </c>
      <c r="B619" s="186" t="s">
        <v>470</v>
      </c>
      <c r="C619" s="185" t="s">
        <v>471</v>
      </c>
      <c r="D619" s="186" t="s">
        <v>9</v>
      </c>
      <c r="E619" s="186">
        <v>1</v>
      </c>
      <c r="F619" s="231">
        <f>G629</f>
        <v>2616.09</v>
      </c>
      <c r="G619" s="232">
        <f aca="true" t="shared" si="40" ref="G619:G628">TRUNC(E619*F619,2)</f>
        <v>2616.09</v>
      </c>
    </row>
    <row r="620" spans="1:7" s="20" customFormat="1" ht="15.75">
      <c r="A620" s="82"/>
      <c r="B620" s="83" t="s">
        <v>139</v>
      </c>
      <c r="C620" s="84" t="s">
        <v>307</v>
      </c>
      <c r="D620" s="83" t="s">
        <v>9</v>
      </c>
      <c r="E620" s="83">
        <v>4</v>
      </c>
      <c r="F620" s="85">
        <f>TRUNC(42,2)</f>
        <v>42</v>
      </c>
      <c r="G620" s="71">
        <f t="shared" si="40"/>
        <v>168</v>
      </c>
    </row>
    <row r="621" spans="1:7" s="20" customFormat="1" ht="15.75">
      <c r="A621" s="82"/>
      <c r="B621" s="83" t="s">
        <v>209</v>
      </c>
      <c r="C621" s="84" t="s">
        <v>210</v>
      </c>
      <c r="D621" s="83" t="s">
        <v>128</v>
      </c>
      <c r="E621" s="83">
        <v>9.27</v>
      </c>
      <c r="F621" s="85">
        <f>TRUNC(14.47,2)</f>
        <v>14.47</v>
      </c>
      <c r="G621" s="71">
        <f t="shared" si="40"/>
        <v>134.13</v>
      </c>
    </row>
    <row r="622" spans="1:7" s="20" customFormat="1" ht="15.75">
      <c r="A622" s="82"/>
      <c r="B622" s="83" t="s">
        <v>299</v>
      </c>
      <c r="C622" s="84" t="s">
        <v>300</v>
      </c>
      <c r="D622" s="83" t="s">
        <v>128</v>
      </c>
      <c r="E622" s="83">
        <v>6.18</v>
      </c>
      <c r="F622" s="85">
        <f>TRUNC(19.97,2)</f>
        <v>19.97</v>
      </c>
      <c r="G622" s="71">
        <f t="shared" si="40"/>
        <v>123.41</v>
      </c>
    </row>
    <row r="623" spans="1:7" s="20" customFormat="1" ht="15.75">
      <c r="A623" s="82"/>
      <c r="B623" s="83" t="s">
        <v>303</v>
      </c>
      <c r="C623" s="84" t="s">
        <v>304</v>
      </c>
      <c r="D623" s="83" t="s">
        <v>0</v>
      </c>
      <c r="E623" s="83">
        <v>1.21</v>
      </c>
      <c r="F623" s="85">
        <f>TRUNC(23.4281,2)</f>
        <v>23.42</v>
      </c>
      <c r="G623" s="71">
        <f t="shared" si="40"/>
        <v>28.33</v>
      </c>
    </row>
    <row r="624" spans="1:7" s="20" customFormat="1" ht="15.75">
      <c r="A624" s="82"/>
      <c r="B624" s="83" t="s">
        <v>472</v>
      </c>
      <c r="C624" s="84" t="s">
        <v>473</v>
      </c>
      <c r="D624" s="83" t="s">
        <v>125</v>
      </c>
      <c r="E624" s="83">
        <v>84</v>
      </c>
      <c r="F624" s="85">
        <f>TRUNC(3.5473,2)</f>
        <v>3.54</v>
      </c>
      <c r="G624" s="71">
        <f t="shared" si="40"/>
        <v>297.36</v>
      </c>
    </row>
    <row r="625" spans="1:7" s="20" customFormat="1" ht="15.75">
      <c r="A625" s="82"/>
      <c r="B625" s="83" t="s">
        <v>474</v>
      </c>
      <c r="C625" s="84" t="s">
        <v>475</v>
      </c>
      <c r="D625" s="83" t="s">
        <v>125</v>
      </c>
      <c r="E625" s="83">
        <v>42</v>
      </c>
      <c r="F625" s="85">
        <f>TRUNC(3.4131,2)</f>
        <v>3.41</v>
      </c>
      <c r="G625" s="71">
        <f t="shared" si="40"/>
        <v>143.22</v>
      </c>
    </row>
    <row r="626" spans="1:7" s="20" customFormat="1" ht="30">
      <c r="A626" s="82"/>
      <c r="B626" s="83" t="s">
        <v>476</v>
      </c>
      <c r="C626" s="84" t="s">
        <v>477</v>
      </c>
      <c r="D626" s="83" t="s">
        <v>125</v>
      </c>
      <c r="E626" s="83">
        <v>42</v>
      </c>
      <c r="F626" s="85">
        <f>TRUNC(4.0789,2)</f>
        <v>4.07</v>
      </c>
      <c r="G626" s="71">
        <f t="shared" si="40"/>
        <v>170.94</v>
      </c>
    </row>
    <row r="627" spans="1:7" s="20" customFormat="1" ht="15.75">
      <c r="A627" s="82"/>
      <c r="B627" s="83" t="s">
        <v>478</v>
      </c>
      <c r="C627" s="84" t="s">
        <v>479</v>
      </c>
      <c r="D627" s="83" t="s">
        <v>0</v>
      </c>
      <c r="E627" s="83">
        <v>20</v>
      </c>
      <c r="F627" s="85">
        <f>TRUNC(58.0279,2)</f>
        <v>58.02</v>
      </c>
      <c r="G627" s="71">
        <f t="shared" si="40"/>
        <v>1160.4</v>
      </c>
    </row>
    <row r="628" spans="1:7" s="20" customFormat="1" ht="15.75">
      <c r="A628" s="82"/>
      <c r="B628" s="83" t="s">
        <v>305</v>
      </c>
      <c r="C628" s="84" t="s">
        <v>306</v>
      </c>
      <c r="D628" s="83" t="s">
        <v>1</v>
      </c>
      <c r="E628" s="83">
        <v>2</v>
      </c>
      <c r="F628" s="85">
        <f>TRUNC(195.1539,2)</f>
        <v>195.15</v>
      </c>
      <c r="G628" s="71">
        <f t="shared" si="40"/>
        <v>390.3</v>
      </c>
    </row>
    <row r="629" spans="1:7" s="20" customFormat="1" ht="15.75">
      <c r="A629" s="82"/>
      <c r="B629" s="83"/>
      <c r="C629" s="84"/>
      <c r="D629" s="83"/>
      <c r="E629" s="83" t="s">
        <v>3</v>
      </c>
      <c r="F629" s="85"/>
      <c r="G629" s="71">
        <f>TRUNC(SUM(G620:G628),2)</f>
        <v>2616.09</v>
      </c>
    </row>
    <row r="630" spans="1:8" s="208" customFormat="1" ht="30">
      <c r="A630" s="223" t="s">
        <v>736</v>
      </c>
      <c r="B630" s="224" t="s">
        <v>580</v>
      </c>
      <c r="C630" s="225" t="s">
        <v>581</v>
      </c>
      <c r="D630" s="226" t="s">
        <v>9</v>
      </c>
      <c r="E630" s="227">
        <v>1</v>
      </c>
      <c r="F630" s="228">
        <f>G631</f>
        <v>1056.9</v>
      </c>
      <c r="G630" s="229">
        <f>E630*F630</f>
        <v>1056.9</v>
      </c>
      <c r="H630" s="230"/>
    </row>
    <row r="631" spans="1:8" s="208" customFormat="1" ht="45">
      <c r="A631" s="211"/>
      <c r="B631" s="212" t="s">
        <v>585</v>
      </c>
      <c r="C631" s="209" t="s">
        <v>586</v>
      </c>
      <c r="D631" s="213" t="s">
        <v>125</v>
      </c>
      <c r="E631" s="214">
        <v>158.22</v>
      </c>
      <c r="F631" s="215">
        <f>TRUNC(6.682187,2)</f>
        <v>6.68</v>
      </c>
      <c r="G631" s="216">
        <f>TRUNC(E631*F631,2)</f>
        <v>1056.9</v>
      </c>
      <c r="H631" s="230"/>
    </row>
    <row r="632" spans="1:8" s="208" customFormat="1" ht="30">
      <c r="A632" s="217"/>
      <c r="B632" s="218" t="s">
        <v>582</v>
      </c>
      <c r="C632" s="210" t="s">
        <v>583</v>
      </c>
      <c r="D632" s="219" t="s">
        <v>125</v>
      </c>
      <c r="E632" s="220">
        <v>1.05</v>
      </c>
      <c r="F632" s="221">
        <f>TRUNC(4.8,2)</f>
        <v>4.8</v>
      </c>
      <c r="G632" s="222">
        <f>TRUNC(E632*F632,2)</f>
        <v>5.04</v>
      </c>
      <c r="H632" s="230"/>
    </row>
    <row r="633" spans="1:8" s="208" customFormat="1" ht="15.75">
      <c r="A633" s="217"/>
      <c r="B633" s="218" t="s">
        <v>587</v>
      </c>
      <c r="C633" s="210" t="s">
        <v>588</v>
      </c>
      <c r="D633" s="219" t="s">
        <v>128</v>
      </c>
      <c r="E633" s="220">
        <v>0.0412</v>
      </c>
      <c r="F633" s="221">
        <f>TRUNC(21.49,2)</f>
        <v>21.49</v>
      </c>
      <c r="G633" s="222">
        <f>TRUNC(E633*F633,2)</f>
        <v>0.88</v>
      </c>
      <c r="H633" s="230"/>
    </row>
    <row r="634" spans="1:8" s="208" customFormat="1" ht="15.75">
      <c r="A634" s="217"/>
      <c r="B634" s="218" t="s">
        <v>589</v>
      </c>
      <c r="C634" s="210" t="s">
        <v>590</v>
      </c>
      <c r="D634" s="219" t="s">
        <v>128</v>
      </c>
      <c r="E634" s="220">
        <v>0.0412</v>
      </c>
      <c r="F634" s="221">
        <f>TRUNC(14.47,2)</f>
        <v>14.47</v>
      </c>
      <c r="G634" s="222">
        <f>TRUNC(E634*F634,2)</f>
        <v>0.59</v>
      </c>
      <c r="H634" s="230"/>
    </row>
    <row r="635" spans="1:8" s="208" customFormat="1" ht="15.75">
      <c r="A635" s="217"/>
      <c r="B635" s="218" t="s">
        <v>591</v>
      </c>
      <c r="C635" s="210" t="s">
        <v>592</v>
      </c>
      <c r="D635" s="219" t="s">
        <v>2</v>
      </c>
      <c r="E635" s="220">
        <v>0.006</v>
      </c>
      <c r="F635" s="221">
        <f>TRUNC(26.7725,2)</f>
        <v>26.77</v>
      </c>
      <c r="G635" s="222">
        <f>TRUNC(E635*F635,2)</f>
        <v>0.16</v>
      </c>
      <c r="H635" s="230"/>
    </row>
    <row r="636" spans="1:8" s="208" customFormat="1" ht="15.75">
      <c r="A636" s="217"/>
      <c r="B636" s="218"/>
      <c r="C636" s="210"/>
      <c r="D636" s="219"/>
      <c r="E636" s="220" t="s">
        <v>3</v>
      </c>
      <c r="F636" s="221"/>
      <c r="G636" s="222">
        <f>TRUNC(SUM(G632:G635),2)</f>
        <v>6.67</v>
      </c>
      <c r="H636" s="230"/>
    </row>
    <row r="637" spans="1:9" s="246" customFormat="1" ht="15.75">
      <c r="A637" s="288" t="s">
        <v>737</v>
      </c>
      <c r="B637" s="289"/>
      <c r="C637" s="290" t="s">
        <v>735</v>
      </c>
      <c r="D637" s="291" t="s">
        <v>584</v>
      </c>
      <c r="E637" s="292">
        <v>6</v>
      </c>
      <c r="F637" s="292">
        <f>F638</f>
        <v>9</v>
      </c>
      <c r="G637" s="293">
        <f>E637*F637</f>
        <v>54</v>
      </c>
      <c r="I637" s="247"/>
    </row>
    <row r="638" spans="1:9" s="246" customFormat="1" ht="15.75">
      <c r="A638" s="294"/>
      <c r="B638" s="295" t="s">
        <v>153</v>
      </c>
      <c r="C638" s="296" t="s">
        <v>734</v>
      </c>
      <c r="D638" s="297" t="s">
        <v>584</v>
      </c>
      <c r="E638" s="298"/>
      <c r="F638" s="298">
        <v>9</v>
      </c>
      <c r="G638" s="299"/>
      <c r="I638" s="247"/>
    </row>
    <row r="639" spans="1:7" s="20" customFormat="1" ht="76.5">
      <c r="A639" s="75" t="s">
        <v>619</v>
      </c>
      <c r="B639" s="76" t="s">
        <v>633</v>
      </c>
      <c r="C639" s="77" t="s">
        <v>634</v>
      </c>
      <c r="D639" s="76" t="s">
        <v>0</v>
      </c>
      <c r="E639" s="76"/>
      <c r="F639" s="119">
        <f>TRUNC(F640,2)</f>
        <v>14.41</v>
      </c>
      <c r="G639" s="76">
        <f aca="true" t="shared" si="41" ref="G639:G647">TRUNC(E639*F639,2)</f>
        <v>0</v>
      </c>
    </row>
    <row r="640" spans="1:7" s="20" customFormat="1" ht="75">
      <c r="A640" s="78"/>
      <c r="B640" s="79" t="s">
        <v>633</v>
      </c>
      <c r="C640" s="80" t="s">
        <v>628</v>
      </c>
      <c r="D640" s="79" t="s">
        <v>0</v>
      </c>
      <c r="E640" s="79">
        <v>1</v>
      </c>
      <c r="F640" s="79">
        <f>G648</f>
        <v>14.41</v>
      </c>
      <c r="G640" s="258">
        <f t="shared" si="41"/>
        <v>14.41</v>
      </c>
    </row>
    <row r="641" spans="1:7" s="20" customFormat="1" ht="30">
      <c r="A641" s="82"/>
      <c r="B641" s="83" t="s">
        <v>124</v>
      </c>
      <c r="C641" s="84" t="s">
        <v>207</v>
      </c>
      <c r="D641" s="83" t="s">
        <v>125</v>
      </c>
      <c r="E641" s="83">
        <f>0.1/4</f>
        <v>0.025</v>
      </c>
      <c r="F641" s="83">
        <f>TRUNC(8.39,2)</f>
        <v>8.39</v>
      </c>
      <c r="G641" s="259">
        <f t="shared" si="41"/>
        <v>0.2</v>
      </c>
    </row>
    <row r="642" spans="1:7" s="20" customFormat="1" ht="15.75">
      <c r="A642" s="82"/>
      <c r="B642" s="83" t="s">
        <v>126</v>
      </c>
      <c r="C642" s="84" t="s">
        <v>208</v>
      </c>
      <c r="D642" s="83" t="s">
        <v>2</v>
      </c>
      <c r="E642" s="83">
        <f>0.122/4</f>
        <v>0.0305</v>
      </c>
      <c r="F642" s="83">
        <f>TRUNC(2.46,2)</f>
        <v>2.46</v>
      </c>
      <c r="G642" s="259">
        <f t="shared" si="41"/>
        <v>0.07</v>
      </c>
    </row>
    <row r="643" spans="1:7" s="20" customFormat="1" ht="15.75">
      <c r="A643" s="82"/>
      <c r="B643" s="83" t="s">
        <v>629</v>
      </c>
      <c r="C643" s="84" t="s">
        <v>630</v>
      </c>
      <c r="D643" s="83" t="s">
        <v>2</v>
      </c>
      <c r="E643" s="83">
        <f>2.25/4</f>
        <v>0.5625</v>
      </c>
      <c r="F643" s="83">
        <f>TRUNC(10.6633,2)</f>
        <v>10.66</v>
      </c>
      <c r="G643" s="259">
        <f t="shared" si="41"/>
        <v>5.99</v>
      </c>
    </row>
    <row r="644" spans="1:7" s="20" customFormat="1" ht="15.75">
      <c r="A644" s="82"/>
      <c r="B644" s="83" t="s">
        <v>209</v>
      </c>
      <c r="C644" s="84" t="s">
        <v>210</v>
      </c>
      <c r="D644" s="83" t="s">
        <v>128</v>
      </c>
      <c r="E644" s="83">
        <v>0.1648</v>
      </c>
      <c r="F644" s="83">
        <f>TRUNC(14.47,2)</f>
        <v>14.47</v>
      </c>
      <c r="G644" s="259">
        <f t="shared" si="41"/>
        <v>2.38</v>
      </c>
    </row>
    <row r="645" spans="1:7" s="20" customFormat="1" ht="30">
      <c r="A645" s="82"/>
      <c r="B645" s="83" t="s">
        <v>328</v>
      </c>
      <c r="C645" s="84" t="s">
        <v>329</v>
      </c>
      <c r="D645" s="83" t="s">
        <v>128</v>
      </c>
      <c r="E645" s="83">
        <v>0.0824</v>
      </c>
      <c r="F645" s="83">
        <f>TRUNC(19.97,2)</f>
        <v>19.97</v>
      </c>
      <c r="G645" s="259">
        <f t="shared" si="41"/>
        <v>1.64</v>
      </c>
    </row>
    <row r="646" spans="1:7" s="20" customFormat="1" ht="30">
      <c r="A646" s="82"/>
      <c r="B646" s="83" t="s">
        <v>631</v>
      </c>
      <c r="C646" s="84" t="s">
        <v>632</v>
      </c>
      <c r="D646" s="83" t="s">
        <v>128</v>
      </c>
      <c r="E646" s="83">
        <v>0.024</v>
      </c>
      <c r="F646" s="83">
        <f>TRUNC(69.286,2)</f>
        <v>69.28</v>
      </c>
      <c r="G646" s="259">
        <f t="shared" si="41"/>
        <v>1.66</v>
      </c>
    </row>
    <row r="647" spans="1:7" s="20" customFormat="1" ht="30">
      <c r="A647" s="82"/>
      <c r="B647" s="83" t="s">
        <v>626</v>
      </c>
      <c r="C647" s="84" t="s">
        <v>627</v>
      </c>
      <c r="D647" s="83" t="s">
        <v>128</v>
      </c>
      <c r="E647" s="83">
        <v>0.016</v>
      </c>
      <c r="F647" s="83">
        <f>TRUNC(154.7002,2)</f>
        <v>154.7</v>
      </c>
      <c r="G647" s="259">
        <f t="shared" si="41"/>
        <v>2.47</v>
      </c>
    </row>
    <row r="648" spans="1:7" s="20" customFormat="1" ht="15.75">
      <c r="A648" s="101"/>
      <c r="B648" s="102"/>
      <c r="C648" s="103"/>
      <c r="D648" s="102"/>
      <c r="E648" s="102" t="s">
        <v>3</v>
      </c>
      <c r="F648" s="102"/>
      <c r="G648" s="260">
        <f>TRUNC(SUM(G641:G647),2)</f>
        <v>14.41</v>
      </c>
    </row>
    <row r="649" spans="1:7" s="20" customFormat="1" ht="45">
      <c r="A649" s="75" t="s">
        <v>635</v>
      </c>
      <c r="B649" s="76" t="s">
        <v>490</v>
      </c>
      <c r="C649" s="77" t="s">
        <v>491</v>
      </c>
      <c r="D649" s="76" t="s">
        <v>9</v>
      </c>
      <c r="E649" s="76"/>
      <c r="F649" s="119">
        <f>TRUNC(F650,2)</f>
        <v>205.33</v>
      </c>
      <c r="G649" s="76">
        <f aca="true" t="shared" si="42" ref="G649:G663">TRUNC(E649*F649,2)</f>
        <v>0</v>
      </c>
    </row>
    <row r="650" spans="1:7" s="20" customFormat="1" ht="45">
      <c r="A650" s="78"/>
      <c r="B650" s="79" t="s">
        <v>490</v>
      </c>
      <c r="C650" s="80" t="s">
        <v>491</v>
      </c>
      <c r="D650" s="79" t="s">
        <v>9</v>
      </c>
      <c r="E650" s="79"/>
      <c r="F650" s="79">
        <f>G662</f>
        <v>205.33</v>
      </c>
      <c r="G650" s="258"/>
    </row>
    <row r="651" spans="1:7" s="257" customFormat="1" ht="15.75">
      <c r="A651" s="82"/>
      <c r="B651" s="83" t="s">
        <v>209</v>
      </c>
      <c r="C651" s="84" t="s">
        <v>210</v>
      </c>
      <c r="D651" s="83" t="s">
        <v>128</v>
      </c>
      <c r="E651" s="83">
        <v>3.09</v>
      </c>
      <c r="F651" s="83">
        <f>TRUNC(14.47,2)</f>
        <v>14.47</v>
      </c>
      <c r="G651" s="259">
        <f t="shared" si="42"/>
        <v>44.71</v>
      </c>
    </row>
    <row r="652" spans="1:7" s="257" customFormat="1" ht="15.75">
      <c r="A652" s="82"/>
      <c r="B652" s="83" t="s">
        <v>299</v>
      </c>
      <c r="C652" s="84" t="s">
        <v>300</v>
      </c>
      <c r="D652" s="83" t="s">
        <v>128</v>
      </c>
      <c r="E652" s="83">
        <v>1.03</v>
      </c>
      <c r="F652" s="83">
        <f>TRUNC(19.97,2)</f>
        <v>19.97</v>
      </c>
      <c r="G652" s="259">
        <f t="shared" si="42"/>
        <v>20.56</v>
      </c>
    </row>
    <row r="653" spans="1:7" s="257" customFormat="1" ht="15.75">
      <c r="A653" s="82"/>
      <c r="B653" s="83" t="s">
        <v>339</v>
      </c>
      <c r="C653" s="84" t="s">
        <v>340</v>
      </c>
      <c r="D653" s="83" t="s">
        <v>1</v>
      </c>
      <c r="E653" s="83">
        <v>0.12</v>
      </c>
      <c r="F653" s="83">
        <f>TRUNC(103.5194,2)</f>
        <v>103.51</v>
      </c>
      <c r="G653" s="259">
        <f t="shared" si="42"/>
        <v>12.42</v>
      </c>
    </row>
    <row r="654" spans="1:7" s="257" customFormat="1" ht="15.75">
      <c r="A654" s="82"/>
      <c r="B654" s="83" t="s">
        <v>341</v>
      </c>
      <c r="C654" s="84" t="s">
        <v>342</v>
      </c>
      <c r="D654" s="83" t="s">
        <v>1</v>
      </c>
      <c r="E654" s="83">
        <v>0.12</v>
      </c>
      <c r="F654" s="83">
        <f>TRUNC(71.468,2)</f>
        <v>71.46</v>
      </c>
      <c r="G654" s="259">
        <f t="shared" si="42"/>
        <v>8.57</v>
      </c>
    </row>
    <row r="655" spans="1:7" s="257" customFormat="1" ht="15.75">
      <c r="A655" s="82"/>
      <c r="B655" s="83" t="s">
        <v>313</v>
      </c>
      <c r="C655" s="84" t="s">
        <v>314</v>
      </c>
      <c r="D655" s="83" t="s">
        <v>0</v>
      </c>
      <c r="E655" s="83">
        <v>1</v>
      </c>
      <c r="F655" s="83">
        <f>TRUNC(52.8664,2)</f>
        <v>52.86</v>
      </c>
      <c r="G655" s="259">
        <f t="shared" si="42"/>
        <v>52.86</v>
      </c>
    </row>
    <row r="656" spans="1:7" s="257" customFormat="1" ht="15.75">
      <c r="A656" s="82"/>
      <c r="B656" s="83" t="s">
        <v>424</v>
      </c>
      <c r="C656" s="84" t="s">
        <v>425</v>
      </c>
      <c r="D656" s="83" t="s">
        <v>1</v>
      </c>
      <c r="E656" s="83">
        <v>0.12</v>
      </c>
      <c r="F656" s="83">
        <f>TRUNC(209.2239,2)</f>
        <v>209.22</v>
      </c>
      <c r="G656" s="259">
        <f t="shared" si="42"/>
        <v>25.1</v>
      </c>
    </row>
    <row r="657" spans="1:7" s="257" customFormat="1" ht="30">
      <c r="A657" s="82"/>
      <c r="B657" s="83" t="s">
        <v>492</v>
      </c>
      <c r="C657" s="84" t="s">
        <v>493</v>
      </c>
      <c r="D657" s="83" t="s">
        <v>128</v>
      </c>
      <c r="E657" s="83">
        <v>0.309</v>
      </c>
      <c r="F657" s="83">
        <f>TRUNC(0.9491,2)</f>
        <v>0.94</v>
      </c>
      <c r="G657" s="259">
        <f t="shared" si="42"/>
        <v>0.29</v>
      </c>
    </row>
    <row r="658" spans="1:7" s="257" customFormat="1" ht="15.75">
      <c r="A658" s="82"/>
      <c r="B658" s="83" t="s">
        <v>436</v>
      </c>
      <c r="C658" s="84" t="s">
        <v>437</v>
      </c>
      <c r="D658" s="83" t="s">
        <v>128</v>
      </c>
      <c r="E658" s="83">
        <v>0.027</v>
      </c>
      <c r="F658" s="83">
        <f>TRUNC(12.4693,2)</f>
        <v>12.46</v>
      </c>
      <c r="G658" s="259">
        <f t="shared" si="42"/>
        <v>0.33</v>
      </c>
    </row>
    <row r="659" spans="1:7" s="257" customFormat="1" ht="15.75">
      <c r="A659" s="82"/>
      <c r="B659" s="83" t="s">
        <v>438</v>
      </c>
      <c r="C659" s="84" t="s">
        <v>439</v>
      </c>
      <c r="D659" s="83" t="s">
        <v>128</v>
      </c>
      <c r="E659" s="83">
        <v>0.12</v>
      </c>
      <c r="F659" s="83">
        <f>TRUNC(62.1374,2)</f>
        <v>62.13</v>
      </c>
      <c r="G659" s="259">
        <f t="shared" si="42"/>
        <v>7.45</v>
      </c>
    </row>
    <row r="660" spans="1:7" s="257" customFormat="1" ht="15.75">
      <c r="A660" s="82"/>
      <c r="B660" s="83" t="s">
        <v>484</v>
      </c>
      <c r="C660" s="84" t="s">
        <v>485</v>
      </c>
      <c r="D660" s="83" t="s">
        <v>128</v>
      </c>
      <c r="E660" s="83">
        <v>0.75</v>
      </c>
      <c r="F660" s="83">
        <f>TRUNC(39.4257,2)</f>
        <v>39.42</v>
      </c>
      <c r="G660" s="259">
        <f t="shared" si="42"/>
        <v>29.56</v>
      </c>
    </row>
    <row r="661" spans="1:7" s="257" customFormat="1" ht="15.75">
      <c r="A661" s="82"/>
      <c r="B661" s="83" t="s">
        <v>486</v>
      </c>
      <c r="C661" s="84" t="s">
        <v>487</v>
      </c>
      <c r="D661" s="83" t="s">
        <v>128</v>
      </c>
      <c r="E661" s="83">
        <v>0.03</v>
      </c>
      <c r="F661" s="83">
        <f>TRUNC(116.0481,2)</f>
        <v>116.04</v>
      </c>
      <c r="G661" s="259">
        <f t="shared" si="42"/>
        <v>3.48</v>
      </c>
    </row>
    <row r="662" spans="1:7" s="257" customFormat="1" ht="15.75">
      <c r="A662" s="101"/>
      <c r="B662" s="102"/>
      <c r="C662" s="103"/>
      <c r="D662" s="102"/>
      <c r="E662" s="102" t="s">
        <v>3</v>
      </c>
      <c r="F662" s="102"/>
      <c r="G662" s="260">
        <f>TRUNC(SUM(G651:G661),2)</f>
        <v>205.33</v>
      </c>
    </row>
    <row r="663" spans="1:23" s="261" customFormat="1" ht="45">
      <c r="A663" s="75" t="s">
        <v>638</v>
      </c>
      <c r="B663" s="75" t="s">
        <v>504</v>
      </c>
      <c r="C663" s="280" t="s">
        <v>505</v>
      </c>
      <c r="D663" s="75" t="s">
        <v>1</v>
      </c>
      <c r="E663" s="281"/>
      <c r="F663" s="119">
        <f>TRUNC(F664,2)</f>
        <v>287.67</v>
      </c>
      <c r="G663" s="76">
        <f t="shared" si="42"/>
        <v>0</v>
      </c>
      <c r="H663" s="268"/>
      <c r="I663" s="265"/>
      <c r="J663" s="265"/>
      <c r="K663" s="266"/>
      <c r="L663" s="265"/>
      <c r="M663" s="205"/>
      <c r="N663" s="205"/>
      <c r="O663" s="205"/>
      <c r="P663" s="205"/>
      <c r="Q663" s="205"/>
      <c r="R663" s="205"/>
      <c r="S663" s="205"/>
      <c r="T663" s="83"/>
      <c r="U663" s="83"/>
      <c r="V663" s="83"/>
      <c r="W663" s="83"/>
    </row>
    <row r="664" spans="1:23" s="261" customFormat="1" ht="45">
      <c r="A664" s="78"/>
      <c r="B664" s="18" t="s">
        <v>504</v>
      </c>
      <c r="C664" s="273" t="s">
        <v>505</v>
      </c>
      <c r="D664" s="18" t="s">
        <v>1</v>
      </c>
      <c r="E664" s="274">
        <v>1</v>
      </c>
      <c r="F664" s="274">
        <f>TRUNC(287.676374,2)</f>
        <v>287.67</v>
      </c>
      <c r="G664" s="275">
        <f aca="true" t="shared" si="43" ref="G664:G670">TRUNC(E664*F664,2)</f>
        <v>287.67</v>
      </c>
      <c r="H664" s="265"/>
      <c r="I664" s="265"/>
      <c r="J664" s="265"/>
      <c r="K664" s="266"/>
      <c r="L664" s="265"/>
      <c r="M664" s="205"/>
      <c r="N664" s="205"/>
      <c r="O664" s="205"/>
      <c r="P664" s="205"/>
      <c r="Q664" s="205"/>
      <c r="R664" s="205"/>
      <c r="S664" s="205"/>
      <c r="T664" s="83"/>
      <c r="U664" s="83"/>
      <c r="V664" s="83"/>
      <c r="W664" s="83"/>
    </row>
    <row r="665" spans="1:23" s="261" customFormat="1" ht="15">
      <c r="A665" s="82"/>
      <c r="B665" s="113" t="s">
        <v>209</v>
      </c>
      <c r="C665" s="272" t="s">
        <v>210</v>
      </c>
      <c r="D665" s="113" t="s">
        <v>128</v>
      </c>
      <c r="E665" s="265">
        <v>6.6126000000000005</v>
      </c>
      <c r="F665" s="265">
        <f>TRUNC(14.47,2)</f>
        <v>14.47</v>
      </c>
      <c r="G665" s="276">
        <f t="shared" si="43"/>
        <v>95.68</v>
      </c>
      <c r="H665" s="265"/>
      <c r="I665" s="265"/>
      <c r="J665" s="265"/>
      <c r="K665" s="266"/>
      <c r="L665" s="265"/>
      <c r="M665" s="205"/>
      <c r="N665" s="205"/>
      <c r="O665" s="205"/>
      <c r="P665" s="205"/>
      <c r="Q665" s="205"/>
      <c r="R665" s="205"/>
      <c r="S665" s="205"/>
      <c r="T665" s="83"/>
      <c r="U665" s="83"/>
      <c r="V665" s="83"/>
      <c r="W665" s="83"/>
    </row>
    <row r="666" spans="1:23" s="261" customFormat="1" ht="30">
      <c r="A666" s="82"/>
      <c r="B666" s="113" t="s">
        <v>494</v>
      </c>
      <c r="C666" s="272" t="s">
        <v>495</v>
      </c>
      <c r="D666" s="113" t="s">
        <v>128</v>
      </c>
      <c r="E666" s="265">
        <v>3.3063000000000002</v>
      </c>
      <c r="F666" s="265">
        <f>TRUNC(19.97,2)</f>
        <v>19.97</v>
      </c>
      <c r="G666" s="276">
        <f t="shared" si="43"/>
        <v>66.02</v>
      </c>
      <c r="H666" s="265"/>
      <c r="I666" s="265"/>
      <c r="J666" s="265"/>
      <c r="K666" s="266"/>
      <c r="L666" s="265"/>
      <c r="M666" s="205"/>
      <c r="N666" s="205"/>
      <c r="O666" s="205"/>
      <c r="P666" s="205"/>
      <c r="Q666" s="205"/>
      <c r="R666" s="205"/>
      <c r="S666" s="205"/>
      <c r="T666" s="83"/>
      <c r="U666" s="83"/>
      <c r="V666" s="83"/>
      <c r="W666" s="83"/>
    </row>
    <row r="667" spans="1:23" s="261" customFormat="1" ht="15">
      <c r="A667" s="82"/>
      <c r="B667" s="113" t="s">
        <v>496</v>
      </c>
      <c r="C667" s="272" t="s">
        <v>497</v>
      </c>
      <c r="D667" s="113" t="s">
        <v>1</v>
      </c>
      <c r="E667" s="265">
        <v>1</v>
      </c>
      <c r="F667" s="265">
        <f>TRUNC(80.7454,2)</f>
        <v>80.74</v>
      </c>
      <c r="G667" s="276">
        <f t="shared" si="43"/>
        <v>80.74</v>
      </c>
      <c r="H667" s="265"/>
      <c r="I667" s="265"/>
      <c r="J667" s="265"/>
      <c r="K667" s="266"/>
      <c r="L667" s="265"/>
      <c r="M667" s="205"/>
      <c r="N667" s="205"/>
      <c r="O667" s="205"/>
      <c r="P667" s="205"/>
      <c r="Q667" s="205"/>
      <c r="R667" s="205"/>
      <c r="S667" s="205"/>
      <c r="T667" s="83"/>
      <c r="U667" s="83"/>
      <c r="V667" s="83"/>
      <c r="W667" s="83"/>
    </row>
    <row r="668" spans="1:23" s="261" customFormat="1" ht="15">
      <c r="A668" s="82"/>
      <c r="B668" s="113" t="s">
        <v>498</v>
      </c>
      <c r="C668" s="272" t="s">
        <v>499</v>
      </c>
      <c r="D668" s="113" t="s">
        <v>128</v>
      </c>
      <c r="E668" s="265">
        <v>0.71</v>
      </c>
      <c r="F668" s="265">
        <f>TRUNC(8.6206,2)</f>
        <v>8.62</v>
      </c>
      <c r="G668" s="276">
        <f t="shared" si="43"/>
        <v>6.12</v>
      </c>
      <c r="H668" s="265"/>
      <c r="I668" s="265"/>
      <c r="J668" s="265"/>
      <c r="K668" s="266"/>
      <c r="L668" s="265"/>
      <c r="M668" s="205"/>
      <c r="N668" s="205"/>
      <c r="O668" s="205"/>
      <c r="P668" s="205"/>
      <c r="Q668" s="205"/>
      <c r="R668" s="205"/>
      <c r="S668" s="205"/>
      <c r="T668" s="83"/>
      <c r="U668" s="83"/>
      <c r="V668" s="83"/>
      <c r="W668" s="83"/>
    </row>
    <row r="669" spans="1:23" s="261" customFormat="1" ht="15">
      <c r="A669" s="82"/>
      <c r="B669" s="113" t="s">
        <v>500</v>
      </c>
      <c r="C669" s="272" t="s">
        <v>501</v>
      </c>
      <c r="D669" s="113" t="s">
        <v>128</v>
      </c>
      <c r="E669" s="265">
        <v>0.89</v>
      </c>
      <c r="F669" s="265">
        <f>TRUNC(20.4613,2)</f>
        <v>20.46</v>
      </c>
      <c r="G669" s="276">
        <f t="shared" si="43"/>
        <v>18.2</v>
      </c>
      <c r="H669" s="265"/>
      <c r="I669" s="265"/>
      <c r="J669" s="265"/>
      <c r="K669" s="266"/>
      <c r="L669" s="265"/>
      <c r="M669" s="205"/>
      <c r="N669" s="205"/>
      <c r="O669" s="205"/>
      <c r="P669" s="205"/>
      <c r="Q669" s="205"/>
      <c r="R669" s="205"/>
      <c r="S669" s="205"/>
      <c r="T669" s="83"/>
      <c r="U669" s="83"/>
      <c r="V669" s="83"/>
      <c r="W669" s="83"/>
    </row>
    <row r="670" spans="1:23" s="261" customFormat="1" ht="15">
      <c r="A670" s="82"/>
      <c r="B670" s="113" t="s">
        <v>486</v>
      </c>
      <c r="C670" s="272" t="s">
        <v>487</v>
      </c>
      <c r="D670" s="113" t="s">
        <v>128</v>
      </c>
      <c r="E670" s="265">
        <v>0.18</v>
      </c>
      <c r="F670" s="265">
        <f>TRUNC(116.0481,2)</f>
        <v>116.04</v>
      </c>
      <c r="G670" s="276">
        <f t="shared" si="43"/>
        <v>20.88</v>
      </c>
      <c r="H670" s="265"/>
      <c r="I670" s="265"/>
      <c r="J670" s="265"/>
      <c r="K670" s="266"/>
      <c r="L670" s="265"/>
      <c r="M670" s="205"/>
      <c r="N670" s="205"/>
      <c r="O670" s="205"/>
      <c r="P670" s="205"/>
      <c r="Q670" s="205"/>
      <c r="R670" s="205"/>
      <c r="S670" s="205"/>
      <c r="T670" s="83"/>
      <c r="U670" s="83"/>
      <c r="V670" s="83"/>
      <c r="W670" s="83"/>
    </row>
    <row r="671" spans="1:23" s="261" customFormat="1" ht="15">
      <c r="A671" s="101"/>
      <c r="B671" s="250"/>
      <c r="C671" s="277"/>
      <c r="D671" s="250"/>
      <c r="E671" s="278" t="s">
        <v>3</v>
      </c>
      <c r="F671" s="278"/>
      <c r="G671" s="279">
        <f>TRUNC(SUM(G665:G670),2)</f>
        <v>287.64</v>
      </c>
      <c r="H671" s="265"/>
      <c r="I671" s="265"/>
      <c r="J671" s="265"/>
      <c r="K671" s="266"/>
      <c r="L671" s="265"/>
      <c r="M671" s="205"/>
      <c r="N671" s="205"/>
      <c r="O671" s="205"/>
      <c r="P671" s="205"/>
      <c r="Q671" s="205"/>
      <c r="R671" s="205"/>
      <c r="S671" s="205"/>
      <c r="T671" s="83"/>
      <c r="U671" s="83"/>
      <c r="V671" s="83"/>
      <c r="W671" s="83"/>
    </row>
    <row r="672" spans="1:23" s="261" customFormat="1" ht="45">
      <c r="A672" s="24" t="s">
        <v>639</v>
      </c>
      <c r="B672" s="24" t="s">
        <v>636</v>
      </c>
      <c r="C672" s="280" t="s">
        <v>637</v>
      </c>
      <c r="D672" s="24" t="s">
        <v>1</v>
      </c>
      <c r="E672" s="110"/>
      <c r="F672" s="119">
        <f>TRUNC(F673,2)</f>
        <v>226.38</v>
      </c>
      <c r="G672" s="76">
        <f aca="true" t="shared" si="44" ref="G672:G679">TRUNC(E672*F672,2)</f>
        <v>0</v>
      </c>
      <c r="H672" s="268"/>
      <c r="I672" s="265"/>
      <c r="J672" s="265"/>
      <c r="K672" s="266"/>
      <c r="L672" s="265"/>
      <c r="M672" s="205"/>
      <c r="N672" s="205"/>
      <c r="O672" s="205"/>
      <c r="P672" s="205"/>
      <c r="Q672" s="205"/>
      <c r="R672" s="205"/>
      <c r="S672" s="205"/>
      <c r="T672" s="83"/>
      <c r="U672" s="83"/>
      <c r="V672" s="83"/>
      <c r="W672" s="83"/>
    </row>
    <row r="673" spans="1:23" s="261" customFormat="1" ht="45">
      <c r="A673" s="78"/>
      <c r="B673" s="18" t="s">
        <v>636</v>
      </c>
      <c r="C673" s="273" t="s">
        <v>637</v>
      </c>
      <c r="D673" s="18" t="s">
        <v>1</v>
      </c>
      <c r="E673" s="274">
        <v>1</v>
      </c>
      <c r="F673" s="274">
        <f>TRUNC(226.381497,2)</f>
        <v>226.38</v>
      </c>
      <c r="G673" s="275">
        <f t="shared" si="44"/>
        <v>226.38</v>
      </c>
      <c r="H673" s="265"/>
      <c r="I673" s="265"/>
      <c r="J673" s="265"/>
      <c r="K673" s="266"/>
      <c r="L673" s="265"/>
      <c r="M673" s="205"/>
      <c r="N673" s="205"/>
      <c r="O673" s="205"/>
      <c r="P673" s="205"/>
      <c r="Q673" s="205"/>
      <c r="R673" s="205"/>
      <c r="S673" s="205"/>
      <c r="T673" s="83"/>
      <c r="U673" s="83"/>
      <c r="V673" s="83"/>
      <c r="W673" s="83"/>
    </row>
    <row r="674" spans="1:23" s="261" customFormat="1" ht="15">
      <c r="A674" s="82"/>
      <c r="B674" s="113" t="s">
        <v>209</v>
      </c>
      <c r="C674" s="272" t="s">
        <v>210</v>
      </c>
      <c r="D674" s="113" t="s">
        <v>128</v>
      </c>
      <c r="E674" s="265">
        <v>4.635</v>
      </c>
      <c r="F674" s="265">
        <f>TRUNC(14.47,2)</f>
        <v>14.47</v>
      </c>
      <c r="G674" s="276">
        <f t="shared" si="44"/>
        <v>67.06</v>
      </c>
      <c r="H674" s="265"/>
      <c r="I674" s="265"/>
      <c r="J674" s="265"/>
      <c r="K674" s="266"/>
      <c r="L674" s="265"/>
      <c r="M674" s="205"/>
      <c r="N674" s="205"/>
      <c r="O674" s="205"/>
      <c r="P674" s="205"/>
      <c r="Q674" s="205"/>
      <c r="R674" s="205"/>
      <c r="S674" s="205"/>
      <c r="T674" s="83"/>
      <c r="U674" s="83"/>
      <c r="V674" s="83"/>
      <c r="W674" s="83"/>
    </row>
    <row r="675" spans="1:23" s="261" customFormat="1" ht="30">
      <c r="A675" s="82"/>
      <c r="B675" s="113" t="s">
        <v>494</v>
      </c>
      <c r="C675" s="272" t="s">
        <v>495</v>
      </c>
      <c r="D675" s="113" t="s">
        <v>128</v>
      </c>
      <c r="E675" s="265">
        <v>2.3175</v>
      </c>
      <c r="F675" s="265">
        <f>TRUNC(19.97,2)</f>
        <v>19.97</v>
      </c>
      <c r="G675" s="276">
        <f t="shared" si="44"/>
        <v>46.28</v>
      </c>
      <c r="H675" s="265"/>
      <c r="I675" s="265"/>
      <c r="J675" s="265"/>
      <c r="K675" s="266"/>
      <c r="L675" s="265"/>
      <c r="M675" s="205"/>
      <c r="N675" s="205"/>
      <c r="O675" s="205"/>
      <c r="P675" s="205"/>
      <c r="Q675" s="205"/>
      <c r="R675" s="205"/>
      <c r="S675" s="205"/>
      <c r="T675" s="83"/>
      <c r="U675" s="83"/>
      <c r="V675" s="83"/>
      <c r="W675" s="83"/>
    </row>
    <row r="676" spans="1:23" s="261" customFormat="1" ht="15">
      <c r="A676" s="82"/>
      <c r="B676" s="113" t="s">
        <v>496</v>
      </c>
      <c r="C676" s="272" t="s">
        <v>497</v>
      </c>
      <c r="D676" s="113" t="s">
        <v>1</v>
      </c>
      <c r="E676" s="265">
        <v>1</v>
      </c>
      <c r="F676" s="265">
        <f>TRUNC(80.7454,2)</f>
        <v>80.74</v>
      </c>
      <c r="G676" s="276">
        <f t="shared" si="44"/>
        <v>80.74</v>
      </c>
      <c r="H676" s="265"/>
      <c r="I676" s="265"/>
      <c r="J676" s="265"/>
      <c r="K676" s="266"/>
      <c r="L676" s="265"/>
      <c r="M676" s="205"/>
      <c r="N676" s="205"/>
      <c r="O676" s="205"/>
      <c r="P676" s="205"/>
      <c r="Q676" s="205"/>
      <c r="R676" s="205"/>
      <c r="S676" s="205"/>
      <c r="T676" s="83"/>
      <c r="U676" s="83"/>
      <c r="V676" s="83"/>
      <c r="W676" s="83"/>
    </row>
    <row r="677" spans="1:23" s="261" customFormat="1" ht="15">
      <c r="A677" s="82"/>
      <c r="B677" s="113" t="s">
        <v>498</v>
      </c>
      <c r="C677" s="272" t="s">
        <v>499</v>
      </c>
      <c r="D677" s="113" t="s">
        <v>128</v>
      </c>
      <c r="E677" s="265">
        <v>0.5</v>
      </c>
      <c r="F677" s="265">
        <f>TRUNC(8.6206,2)</f>
        <v>8.62</v>
      </c>
      <c r="G677" s="276">
        <f t="shared" si="44"/>
        <v>4.31</v>
      </c>
      <c r="H677" s="265"/>
      <c r="I677" s="265"/>
      <c r="J677" s="265"/>
      <c r="K677" s="266"/>
      <c r="L677" s="265"/>
      <c r="M677" s="205"/>
      <c r="N677" s="205"/>
      <c r="O677" s="205"/>
      <c r="P677" s="205"/>
      <c r="Q677" s="205"/>
      <c r="R677" s="205"/>
      <c r="S677" s="205"/>
      <c r="T677" s="83"/>
      <c r="U677" s="83"/>
      <c r="V677" s="83"/>
      <c r="W677" s="83"/>
    </row>
    <row r="678" spans="1:23" s="261" customFormat="1" ht="15">
      <c r="A678" s="82"/>
      <c r="B678" s="113" t="s">
        <v>500</v>
      </c>
      <c r="C678" s="272" t="s">
        <v>501</v>
      </c>
      <c r="D678" s="113" t="s">
        <v>128</v>
      </c>
      <c r="E678" s="265">
        <v>0.63</v>
      </c>
      <c r="F678" s="265">
        <f>TRUNC(20.4613,2)</f>
        <v>20.46</v>
      </c>
      <c r="G678" s="276">
        <f t="shared" si="44"/>
        <v>12.88</v>
      </c>
      <c r="H678" s="265"/>
      <c r="I678" s="265"/>
      <c r="J678" s="265"/>
      <c r="K678" s="266"/>
      <c r="L678" s="265"/>
      <c r="M678" s="205"/>
      <c r="N678" s="205"/>
      <c r="O678" s="205"/>
      <c r="P678" s="205"/>
      <c r="Q678" s="205"/>
      <c r="R678" s="205"/>
      <c r="S678" s="205"/>
      <c r="T678" s="83"/>
      <c r="U678" s="83"/>
      <c r="V678" s="83"/>
      <c r="W678" s="83"/>
    </row>
    <row r="679" spans="1:23" s="261" customFormat="1" ht="15">
      <c r="A679" s="82"/>
      <c r="B679" s="113" t="s">
        <v>486</v>
      </c>
      <c r="C679" s="272" t="s">
        <v>487</v>
      </c>
      <c r="D679" s="113" t="s">
        <v>128</v>
      </c>
      <c r="E679" s="265">
        <v>0.13</v>
      </c>
      <c r="F679" s="265">
        <f>TRUNC(116.0481,2)</f>
        <v>116.04</v>
      </c>
      <c r="G679" s="276">
        <f t="shared" si="44"/>
        <v>15.08</v>
      </c>
      <c r="H679" s="265"/>
      <c r="I679" s="265"/>
      <c r="J679" s="265"/>
      <c r="K679" s="266"/>
      <c r="L679" s="265"/>
      <c r="M679" s="205"/>
      <c r="N679" s="205"/>
      <c r="O679" s="205"/>
      <c r="P679" s="205"/>
      <c r="Q679" s="205"/>
      <c r="R679" s="205"/>
      <c r="S679" s="205"/>
      <c r="T679" s="83"/>
      <c r="U679" s="83"/>
      <c r="V679" s="83"/>
      <c r="W679" s="83"/>
    </row>
    <row r="680" spans="1:23" s="261" customFormat="1" ht="15">
      <c r="A680" s="101"/>
      <c r="B680" s="250"/>
      <c r="C680" s="277"/>
      <c r="D680" s="250"/>
      <c r="E680" s="278" t="s">
        <v>3</v>
      </c>
      <c r="F680" s="278"/>
      <c r="G680" s="279">
        <f>TRUNC(SUM(G674:G679),2)</f>
        <v>226.35</v>
      </c>
      <c r="H680" s="265"/>
      <c r="I680" s="265"/>
      <c r="J680" s="265"/>
      <c r="K680" s="266"/>
      <c r="L680" s="265"/>
      <c r="M680" s="205"/>
      <c r="N680" s="205"/>
      <c r="O680" s="205"/>
      <c r="P680" s="205"/>
      <c r="Q680" s="205"/>
      <c r="R680" s="205"/>
      <c r="S680" s="205"/>
      <c r="T680" s="83"/>
      <c r="U680" s="83"/>
      <c r="V680" s="83"/>
      <c r="W680" s="83"/>
    </row>
    <row r="681" spans="1:23" s="261" customFormat="1" ht="30">
      <c r="A681" s="24" t="s">
        <v>640</v>
      </c>
      <c r="B681" s="24" t="s">
        <v>502</v>
      </c>
      <c r="C681" s="280" t="s">
        <v>507</v>
      </c>
      <c r="D681" s="24" t="s">
        <v>1</v>
      </c>
      <c r="E681" s="110"/>
      <c r="F681" s="119">
        <f>TRUNC(F682,2)</f>
        <v>177.38</v>
      </c>
      <c r="G681" s="76">
        <f aca="true" t="shared" si="45" ref="G681:G688">TRUNC(E681*F681,2)</f>
        <v>0</v>
      </c>
      <c r="H681" s="268"/>
      <c r="I681" s="265"/>
      <c r="J681" s="265"/>
      <c r="K681" s="266"/>
      <c r="L681" s="265"/>
      <c r="M681" s="205"/>
      <c r="N681" s="205"/>
      <c r="O681" s="205"/>
      <c r="P681" s="205"/>
      <c r="Q681" s="205"/>
      <c r="R681" s="205"/>
      <c r="S681" s="205"/>
      <c r="T681" s="83"/>
      <c r="U681" s="85"/>
      <c r="V681" s="83"/>
      <c r="W681" s="83"/>
    </row>
    <row r="682" spans="1:23" s="261" customFormat="1" ht="45">
      <c r="A682" s="78"/>
      <c r="B682" s="18" t="s">
        <v>502</v>
      </c>
      <c r="C682" s="273" t="s">
        <v>503</v>
      </c>
      <c r="D682" s="18" t="s">
        <v>1</v>
      </c>
      <c r="E682" s="274">
        <v>1</v>
      </c>
      <c r="F682" s="274">
        <f>TRUNC(177.3818863,2)</f>
        <v>177.38</v>
      </c>
      <c r="G682" s="275">
        <f t="shared" si="45"/>
        <v>177.38</v>
      </c>
      <c r="H682" s="265"/>
      <c r="I682" s="265"/>
      <c r="J682" s="265"/>
      <c r="K682" s="266"/>
      <c r="L682" s="265"/>
      <c r="M682" s="205"/>
      <c r="N682" s="205"/>
      <c r="O682" s="205"/>
      <c r="P682" s="205"/>
      <c r="Q682" s="205"/>
      <c r="R682" s="205"/>
      <c r="S682" s="205"/>
      <c r="T682" s="83"/>
      <c r="U682" s="85"/>
      <c r="V682" s="83"/>
      <c r="W682" s="83"/>
    </row>
    <row r="683" spans="1:23" s="261" customFormat="1" ht="15">
      <c r="A683" s="82"/>
      <c r="B683" s="113" t="s">
        <v>209</v>
      </c>
      <c r="C683" s="272" t="s">
        <v>210</v>
      </c>
      <c r="D683" s="113" t="s">
        <v>128</v>
      </c>
      <c r="E683" s="265">
        <v>3.09</v>
      </c>
      <c r="F683" s="265">
        <f>TRUNC(14.47,2)</f>
        <v>14.47</v>
      </c>
      <c r="G683" s="276">
        <f t="shared" si="45"/>
        <v>44.71</v>
      </c>
      <c r="H683" s="265"/>
      <c r="I683" s="265"/>
      <c r="J683" s="265"/>
      <c r="K683" s="266"/>
      <c r="L683" s="265"/>
      <c r="M683" s="205"/>
      <c r="N683" s="205"/>
      <c r="O683" s="205"/>
      <c r="P683" s="205"/>
      <c r="Q683" s="205"/>
      <c r="R683" s="205"/>
      <c r="S683" s="205"/>
      <c r="T683" s="83"/>
      <c r="U683" s="85"/>
      <c r="V683" s="83"/>
      <c r="W683" s="83"/>
    </row>
    <row r="684" spans="1:23" s="261" customFormat="1" ht="30">
      <c r="A684" s="82"/>
      <c r="B684" s="113" t="s">
        <v>494</v>
      </c>
      <c r="C684" s="272" t="s">
        <v>495</v>
      </c>
      <c r="D684" s="113" t="s">
        <v>128</v>
      </c>
      <c r="E684" s="265">
        <v>1.545</v>
      </c>
      <c r="F684" s="265">
        <f>TRUNC(19.97,2)</f>
        <v>19.97</v>
      </c>
      <c r="G684" s="276">
        <f t="shared" si="45"/>
        <v>30.85</v>
      </c>
      <c r="H684" s="265"/>
      <c r="I684" s="265"/>
      <c r="J684" s="265"/>
      <c r="K684" s="266"/>
      <c r="L684" s="265"/>
      <c r="M684" s="205"/>
      <c r="N684" s="205"/>
      <c r="O684" s="205"/>
      <c r="P684" s="205"/>
      <c r="Q684" s="205"/>
      <c r="R684" s="205"/>
      <c r="S684" s="205"/>
      <c r="T684" s="83"/>
      <c r="U684" s="85"/>
      <c r="V684" s="83"/>
      <c r="W684" s="83"/>
    </row>
    <row r="685" spans="1:23" s="261" customFormat="1" ht="15">
      <c r="A685" s="82"/>
      <c r="B685" s="113" t="s">
        <v>496</v>
      </c>
      <c r="C685" s="272" t="s">
        <v>497</v>
      </c>
      <c r="D685" s="113" t="s">
        <v>1</v>
      </c>
      <c r="E685" s="265">
        <v>1</v>
      </c>
      <c r="F685" s="265">
        <f>TRUNC(80.7454,2)</f>
        <v>80.74</v>
      </c>
      <c r="G685" s="276">
        <f t="shared" si="45"/>
        <v>80.74</v>
      </c>
      <c r="H685" s="265"/>
      <c r="I685" s="265"/>
      <c r="J685" s="265"/>
      <c r="K685" s="266"/>
      <c r="L685" s="265"/>
      <c r="M685" s="205"/>
      <c r="N685" s="205"/>
      <c r="O685" s="205"/>
      <c r="P685" s="205"/>
      <c r="Q685" s="205"/>
      <c r="R685" s="205"/>
      <c r="S685" s="205"/>
      <c r="T685" s="83"/>
      <c r="U685" s="85"/>
      <c r="V685" s="83"/>
      <c r="W685" s="83"/>
    </row>
    <row r="686" spans="1:23" s="261" customFormat="1" ht="15">
      <c r="A686" s="82"/>
      <c r="B686" s="113" t="s">
        <v>498</v>
      </c>
      <c r="C686" s="272" t="s">
        <v>499</v>
      </c>
      <c r="D686" s="113" t="s">
        <v>128</v>
      </c>
      <c r="E686" s="265">
        <v>0.33</v>
      </c>
      <c r="F686" s="265">
        <f>TRUNC(8.6206,2)</f>
        <v>8.62</v>
      </c>
      <c r="G686" s="276">
        <f t="shared" si="45"/>
        <v>2.84</v>
      </c>
      <c r="H686" s="265"/>
      <c r="I686" s="265"/>
      <c r="J686" s="265"/>
      <c r="K686" s="266"/>
      <c r="L686" s="265"/>
      <c r="M686" s="205"/>
      <c r="N686" s="205"/>
      <c r="O686" s="205"/>
      <c r="P686" s="205"/>
      <c r="Q686" s="205"/>
      <c r="R686" s="205"/>
      <c r="S686" s="205"/>
      <c r="T686" s="83"/>
      <c r="U686" s="85"/>
      <c r="V686" s="83"/>
      <c r="W686" s="83"/>
    </row>
    <row r="687" spans="1:23" s="261" customFormat="1" ht="15">
      <c r="A687" s="82"/>
      <c r="B687" s="113" t="s">
        <v>500</v>
      </c>
      <c r="C687" s="272" t="s">
        <v>501</v>
      </c>
      <c r="D687" s="113" t="s">
        <v>128</v>
      </c>
      <c r="E687" s="265">
        <v>0.42</v>
      </c>
      <c r="F687" s="265">
        <f>TRUNC(20.4613,2)</f>
        <v>20.46</v>
      </c>
      <c r="G687" s="276">
        <f t="shared" si="45"/>
        <v>8.59</v>
      </c>
      <c r="H687" s="265"/>
      <c r="I687" s="265"/>
      <c r="J687" s="265"/>
      <c r="K687" s="266"/>
      <c r="L687" s="265"/>
      <c r="M687" s="205"/>
      <c r="N687" s="205"/>
      <c r="O687" s="205"/>
      <c r="P687" s="205"/>
      <c r="Q687" s="205"/>
      <c r="R687" s="205"/>
      <c r="S687" s="205"/>
      <c r="T687" s="83"/>
      <c r="U687" s="85"/>
      <c r="V687" s="83"/>
      <c r="W687" s="83"/>
    </row>
    <row r="688" spans="1:23" s="261" customFormat="1" ht="15">
      <c r="A688" s="82"/>
      <c r="B688" s="113" t="s">
        <v>486</v>
      </c>
      <c r="C688" s="272" t="s">
        <v>487</v>
      </c>
      <c r="D688" s="113" t="s">
        <v>128</v>
      </c>
      <c r="E688" s="265">
        <v>0.083</v>
      </c>
      <c r="F688" s="265">
        <f>TRUNC(116.0481,2)</f>
        <v>116.04</v>
      </c>
      <c r="G688" s="276">
        <f t="shared" si="45"/>
        <v>9.63</v>
      </c>
      <c r="H688" s="265"/>
      <c r="I688" s="265"/>
      <c r="J688" s="265"/>
      <c r="K688" s="266"/>
      <c r="L688" s="265"/>
      <c r="M688" s="205"/>
      <c r="N688" s="205"/>
      <c r="O688" s="205"/>
      <c r="P688" s="205"/>
      <c r="Q688" s="205"/>
      <c r="R688" s="205"/>
      <c r="S688" s="205"/>
      <c r="T688" s="83"/>
      <c r="U688" s="85"/>
      <c r="V688" s="83"/>
      <c r="W688" s="83"/>
    </row>
    <row r="689" spans="1:23" s="261" customFormat="1" ht="15">
      <c r="A689" s="101"/>
      <c r="B689" s="250"/>
      <c r="C689" s="277"/>
      <c r="D689" s="250"/>
      <c r="E689" s="278" t="s">
        <v>3</v>
      </c>
      <c r="F689" s="278"/>
      <c r="G689" s="279">
        <f>TRUNC(SUM(G683:G688),2)</f>
        <v>177.36</v>
      </c>
      <c r="H689" s="265"/>
      <c r="I689" s="265"/>
      <c r="J689" s="265"/>
      <c r="K689" s="266"/>
      <c r="L689" s="265"/>
      <c r="M689" s="205"/>
      <c r="N689" s="205"/>
      <c r="O689" s="205"/>
      <c r="P689" s="205"/>
      <c r="Q689" s="205"/>
      <c r="R689" s="205"/>
      <c r="S689" s="205"/>
      <c r="T689" s="83"/>
      <c r="U689" s="85"/>
      <c r="V689" s="83"/>
      <c r="W689" s="83"/>
    </row>
    <row r="690" spans="1:23" s="261" customFormat="1" ht="75">
      <c r="A690" s="24" t="s">
        <v>641</v>
      </c>
      <c r="B690" s="24" t="s">
        <v>642</v>
      </c>
      <c r="C690" s="280" t="s">
        <v>643</v>
      </c>
      <c r="D690" s="24" t="s">
        <v>1</v>
      </c>
      <c r="E690" s="110"/>
      <c r="F690" s="119">
        <f>TRUNC(F691,2)</f>
        <v>437.23</v>
      </c>
      <c r="G690" s="76">
        <f aca="true" t="shared" si="46" ref="G690:G696">TRUNC(E690*F690,2)</f>
        <v>0</v>
      </c>
      <c r="H690" s="268"/>
      <c r="I690" s="265"/>
      <c r="J690" s="265"/>
      <c r="K690" s="266"/>
      <c r="L690" s="265"/>
      <c r="M690" s="205"/>
      <c r="N690" s="205"/>
      <c r="O690" s="205"/>
      <c r="P690" s="205"/>
      <c r="Q690" s="205"/>
      <c r="R690" s="205"/>
      <c r="S690" s="205"/>
      <c r="T690" s="83"/>
      <c r="U690" s="85"/>
      <c r="V690" s="83"/>
      <c r="W690" s="83"/>
    </row>
    <row r="691" spans="1:23" s="261" customFormat="1" ht="75">
      <c r="A691" s="78"/>
      <c r="B691" s="18" t="s">
        <v>642</v>
      </c>
      <c r="C691" s="273" t="s">
        <v>643</v>
      </c>
      <c r="D691" s="18" t="s">
        <v>1</v>
      </c>
      <c r="E691" s="274">
        <v>1</v>
      </c>
      <c r="F691" s="274">
        <f>TRUNC(437.235233,2)</f>
        <v>437.23</v>
      </c>
      <c r="G691" s="275">
        <f t="shared" si="46"/>
        <v>437.23</v>
      </c>
      <c r="H691" s="265"/>
      <c r="I691" s="265"/>
      <c r="J691" s="265"/>
      <c r="K691" s="266"/>
      <c r="L691" s="265"/>
      <c r="M691" s="205"/>
      <c r="N691" s="205"/>
      <c r="O691" s="205"/>
      <c r="P691" s="205"/>
      <c r="Q691" s="205"/>
      <c r="R691" s="205"/>
      <c r="S691" s="205"/>
      <c r="T691" s="83"/>
      <c r="U691" s="85"/>
      <c r="V691" s="83"/>
      <c r="W691" s="83"/>
    </row>
    <row r="692" spans="1:23" s="261" customFormat="1" ht="15">
      <c r="A692" s="82"/>
      <c r="B692" s="113" t="s">
        <v>209</v>
      </c>
      <c r="C692" s="272" t="s">
        <v>210</v>
      </c>
      <c r="D692" s="113" t="s">
        <v>128</v>
      </c>
      <c r="E692" s="265">
        <v>13.2458</v>
      </c>
      <c r="F692" s="265">
        <f>TRUNC(14.47,2)</f>
        <v>14.47</v>
      </c>
      <c r="G692" s="276">
        <f t="shared" si="46"/>
        <v>191.66</v>
      </c>
      <c r="H692" s="265"/>
      <c r="I692" s="265"/>
      <c r="J692" s="265"/>
      <c r="K692" s="266"/>
      <c r="L692" s="265"/>
      <c r="M692" s="205"/>
      <c r="N692" s="205"/>
      <c r="O692" s="205"/>
      <c r="P692" s="205"/>
      <c r="Q692" s="205"/>
      <c r="R692" s="205"/>
      <c r="S692" s="205"/>
      <c r="T692" s="83"/>
      <c r="U692" s="85"/>
      <c r="V692" s="83"/>
      <c r="W692" s="83"/>
    </row>
    <row r="693" spans="1:23" s="261" customFormat="1" ht="30">
      <c r="A693" s="82"/>
      <c r="B693" s="113" t="s">
        <v>494</v>
      </c>
      <c r="C693" s="272" t="s">
        <v>495</v>
      </c>
      <c r="D693" s="113" t="s">
        <v>128</v>
      </c>
      <c r="E693" s="265">
        <v>6.6229</v>
      </c>
      <c r="F693" s="265">
        <f>TRUNC(19.97,2)</f>
        <v>19.97</v>
      </c>
      <c r="G693" s="276">
        <f t="shared" si="46"/>
        <v>132.25</v>
      </c>
      <c r="H693" s="265"/>
      <c r="I693" s="265"/>
      <c r="J693" s="265"/>
      <c r="K693" s="266"/>
      <c r="L693" s="265"/>
      <c r="M693" s="205"/>
      <c r="N693" s="205"/>
      <c r="O693" s="205"/>
      <c r="P693" s="205"/>
      <c r="Q693" s="205"/>
      <c r="R693" s="205"/>
      <c r="S693" s="205"/>
      <c r="T693" s="83"/>
      <c r="U693" s="85"/>
      <c r="V693" s="83"/>
      <c r="W693" s="83"/>
    </row>
    <row r="694" spans="1:23" s="261" customFormat="1" ht="30">
      <c r="A694" s="82"/>
      <c r="B694" s="113" t="s">
        <v>644</v>
      </c>
      <c r="C694" s="272" t="s">
        <v>645</v>
      </c>
      <c r="D694" s="113" t="s">
        <v>128</v>
      </c>
      <c r="E694" s="265">
        <v>1.79</v>
      </c>
      <c r="F694" s="265">
        <f>TRUNC(8.5482,2)</f>
        <v>8.54</v>
      </c>
      <c r="G694" s="276">
        <f t="shared" si="46"/>
        <v>15.28</v>
      </c>
      <c r="H694" s="265"/>
      <c r="I694" s="265"/>
      <c r="J694" s="265"/>
      <c r="K694" s="266"/>
      <c r="L694" s="265"/>
      <c r="M694" s="205"/>
      <c r="N694" s="205"/>
      <c r="O694" s="205"/>
      <c r="P694" s="205"/>
      <c r="Q694" s="205"/>
      <c r="R694" s="205"/>
      <c r="S694" s="205"/>
      <c r="T694" s="83"/>
      <c r="U694" s="85"/>
      <c r="V694" s="83"/>
      <c r="W694" s="83"/>
    </row>
    <row r="695" spans="1:23" s="261" customFormat="1" ht="15">
      <c r="A695" s="82"/>
      <c r="B695" s="113" t="s">
        <v>646</v>
      </c>
      <c r="C695" s="272" t="s">
        <v>647</v>
      </c>
      <c r="D695" s="113" t="s">
        <v>1</v>
      </c>
      <c r="E695" s="265">
        <v>1</v>
      </c>
      <c r="F695" s="265">
        <f>TRUNC(56.2306,2)</f>
        <v>56.23</v>
      </c>
      <c r="G695" s="276">
        <f t="shared" si="46"/>
        <v>56.23</v>
      </c>
      <c r="H695" s="265"/>
      <c r="I695" s="265"/>
      <c r="J695" s="265"/>
      <c r="K695" s="266"/>
      <c r="L695" s="265"/>
      <c r="M695" s="205"/>
      <c r="N695" s="205"/>
      <c r="O695" s="205"/>
      <c r="P695" s="205"/>
      <c r="Q695" s="205"/>
      <c r="R695" s="205"/>
      <c r="S695" s="205"/>
      <c r="T695" s="83"/>
      <c r="U695" s="85"/>
      <c r="V695" s="83"/>
      <c r="W695" s="83"/>
    </row>
    <row r="696" spans="1:23" s="261" customFormat="1" ht="15">
      <c r="A696" s="82"/>
      <c r="B696" s="113" t="s">
        <v>486</v>
      </c>
      <c r="C696" s="272" t="s">
        <v>487</v>
      </c>
      <c r="D696" s="113" t="s">
        <v>128</v>
      </c>
      <c r="E696" s="265">
        <v>0.36</v>
      </c>
      <c r="F696" s="265">
        <f>TRUNC(116.0481,2)</f>
        <v>116.04</v>
      </c>
      <c r="G696" s="276">
        <f t="shared" si="46"/>
        <v>41.77</v>
      </c>
      <c r="H696" s="265"/>
      <c r="I696" s="265"/>
      <c r="J696" s="265"/>
      <c r="K696" s="266"/>
      <c r="L696" s="265"/>
      <c r="M696" s="205"/>
      <c r="N696" s="205"/>
      <c r="O696" s="205"/>
      <c r="P696" s="205"/>
      <c r="Q696" s="205"/>
      <c r="R696" s="205"/>
      <c r="S696" s="205"/>
      <c r="T696" s="83"/>
      <c r="U696" s="85"/>
      <c r="V696" s="83"/>
      <c r="W696" s="83"/>
    </row>
    <row r="697" spans="1:23" s="261" customFormat="1" ht="15">
      <c r="A697" s="101"/>
      <c r="B697" s="250"/>
      <c r="C697" s="277"/>
      <c r="D697" s="250"/>
      <c r="E697" s="278" t="s">
        <v>3</v>
      </c>
      <c r="F697" s="278"/>
      <c r="G697" s="279">
        <f>TRUNC(SUM(G692:G696),2)</f>
        <v>437.19</v>
      </c>
      <c r="H697" s="265"/>
      <c r="I697" s="265"/>
      <c r="J697" s="265"/>
      <c r="K697" s="266"/>
      <c r="L697" s="265"/>
      <c r="M697" s="205"/>
      <c r="N697" s="205"/>
      <c r="O697" s="205"/>
      <c r="P697" s="205"/>
      <c r="Q697" s="205"/>
      <c r="R697" s="205"/>
      <c r="S697" s="205"/>
      <c r="T697" s="83"/>
      <c r="U697" s="85"/>
      <c r="V697" s="83"/>
      <c r="W697" s="83"/>
    </row>
    <row r="698" spans="1:23" s="19" customFormat="1" ht="15.75">
      <c r="A698" s="94"/>
      <c r="B698" s="95"/>
      <c r="C698" s="96"/>
      <c r="D698" s="95"/>
      <c r="E698" s="95"/>
      <c r="F698" s="95" t="s">
        <v>119</v>
      </c>
      <c r="G698" s="262"/>
      <c r="H698" s="269"/>
      <c r="I698" s="267"/>
      <c r="J698" s="267"/>
      <c r="K698" s="267"/>
      <c r="L698" s="267"/>
      <c r="M698" s="267"/>
      <c r="N698" s="267"/>
      <c r="O698" s="267"/>
      <c r="P698" s="267"/>
      <c r="Q698" s="267"/>
      <c r="R698" s="267"/>
      <c r="S698" s="267"/>
      <c r="T698" s="267"/>
      <c r="U698" s="267"/>
      <c r="V698" s="267"/>
      <c r="W698" s="267"/>
    </row>
    <row r="699" spans="1:23" ht="15.75">
      <c r="A699" s="94" t="s">
        <v>23</v>
      </c>
      <c r="B699" s="95"/>
      <c r="C699" s="96" t="s">
        <v>94</v>
      </c>
      <c r="D699" s="95"/>
      <c r="E699" s="95"/>
      <c r="F699" s="95"/>
      <c r="G699" s="263"/>
      <c r="H699" s="270"/>
      <c r="I699" s="50"/>
      <c r="J699" s="50"/>
      <c r="K699" s="50"/>
      <c r="L699" s="50"/>
      <c r="M699" s="50"/>
      <c r="N699" s="50"/>
      <c r="O699" s="50"/>
      <c r="P699" s="50"/>
      <c r="Q699" s="50"/>
      <c r="R699" s="50"/>
      <c r="S699" s="50"/>
      <c r="T699" s="50"/>
      <c r="U699" s="50"/>
      <c r="V699" s="50"/>
      <c r="W699" s="50"/>
    </row>
    <row r="700" spans="1:23" ht="30">
      <c r="A700" s="75" t="s">
        <v>16</v>
      </c>
      <c r="B700" s="76" t="s">
        <v>343</v>
      </c>
      <c r="C700" s="77" t="s">
        <v>95</v>
      </c>
      <c r="D700" s="76" t="s">
        <v>1</v>
      </c>
      <c r="E700" s="119"/>
      <c r="F700" s="76">
        <f>TRUNC(F701,2)</f>
        <v>126.56</v>
      </c>
      <c r="G700" s="264">
        <f>TRUNC((E700*F700),2)</f>
        <v>0</v>
      </c>
      <c r="H700" s="271"/>
      <c r="I700" s="50"/>
      <c r="J700" s="50"/>
      <c r="K700" s="50"/>
      <c r="L700" s="50"/>
      <c r="M700" s="50"/>
      <c r="N700" s="50"/>
      <c r="O700" s="50"/>
      <c r="P700" s="50"/>
      <c r="Q700" s="50"/>
      <c r="R700" s="50"/>
      <c r="S700" s="50"/>
      <c r="T700" s="50"/>
      <c r="U700" s="50"/>
      <c r="V700" s="50"/>
      <c r="W700" s="50"/>
    </row>
    <row r="701" spans="1:7" ht="45">
      <c r="A701" s="78"/>
      <c r="B701" s="79" t="s">
        <v>343</v>
      </c>
      <c r="C701" s="80" t="s">
        <v>344</v>
      </c>
      <c r="D701" s="79" t="s">
        <v>1</v>
      </c>
      <c r="E701" s="79">
        <v>1</v>
      </c>
      <c r="F701" s="81">
        <f>G704</f>
        <v>126.56</v>
      </c>
      <c r="G701" s="66">
        <f>TRUNC(E701*F701,2)</f>
        <v>126.56</v>
      </c>
    </row>
    <row r="702" spans="1:7" ht="15.75">
      <c r="A702" s="82"/>
      <c r="B702" s="83" t="s">
        <v>345</v>
      </c>
      <c r="C702" s="84" t="s">
        <v>346</v>
      </c>
      <c r="D702" s="83" t="s">
        <v>0</v>
      </c>
      <c r="E702" s="83">
        <v>2.85</v>
      </c>
      <c r="F702" s="85">
        <f>TRUNC(24.6906,2)</f>
        <v>24.69</v>
      </c>
      <c r="G702" s="71">
        <f>TRUNC(E702*F702,2)</f>
        <v>70.36</v>
      </c>
    </row>
    <row r="703" spans="1:7" ht="15.75">
      <c r="A703" s="82"/>
      <c r="B703" s="83" t="s">
        <v>347</v>
      </c>
      <c r="C703" s="84" t="s">
        <v>348</v>
      </c>
      <c r="D703" s="83" t="s">
        <v>0</v>
      </c>
      <c r="E703" s="83">
        <v>2.85</v>
      </c>
      <c r="F703" s="85">
        <f>TRUNC(19.7284,2)</f>
        <v>19.72</v>
      </c>
      <c r="G703" s="71">
        <f>TRUNC(E703*F703,2)</f>
        <v>56.2</v>
      </c>
    </row>
    <row r="704" spans="1:7" ht="15.75">
      <c r="A704" s="82"/>
      <c r="B704" s="83"/>
      <c r="C704" s="84"/>
      <c r="D704" s="83"/>
      <c r="E704" s="83" t="s">
        <v>3</v>
      </c>
      <c r="F704" s="85"/>
      <c r="G704" s="71">
        <f>TRUNC(SUM(G702:G703),2)</f>
        <v>126.56</v>
      </c>
    </row>
    <row r="705" spans="1:7" ht="30">
      <c r="A705" s="31" t="s">
        <v>17</v>
      </c>
      <c r="B705" s="86" t="s">
        <v>904</v>
      </c>
      <c r="C705" s="87" t="s">
        <v>906</v>
      </c>
      <c r="D705" s="86" t="s">
        <v>0</v>
      </c>
      <c r="E705" s="99"/>
      <c r="F705" s="86">
        <f>TRUNC(F706,2)</f>
        <v>59.72</v>
      </c>
      <c r="G705" s="73">
        <f>TRUNC((E705*F705),2)</f>
        <v>0</v>
      </c>
    </row>
    <row r="706" spans="1:7" ht="45">
      <c r="A706" s="78"/>
      <c r="B706" s="79" t="s">
        <v>904</v>
      </c>
      <c r="C706" s="80" t="s">
        <v>905</v>
      </c>
      <c r="D706" s="79" t="s">
        <v>0</v>
      </c>
      <c r="E706" s="79">
        <v>1</v>
      </c>
      <c r="F706" s="81">
        <f>G715</f>
        <v>59.72</v>
      </c>
      <c r="G706" s="66">
        <f aca="true" t="shared" si="47" ref="G706:G714">TRUNC(E706*F706,2)</f>
        <v>59.72</v>
      </c>
    </row>
    <row r="707" spans="1:7" ht="30">
      <c r="A707" s="82"/>
      <c r="B707" s="83" t="s">
        <v>254</v>
      </c>
      <c r="C707" s="84" t="s">
        <v>255</v>
      </c>
      <c r="D707" s="83" t="s">
        <v>1</v>
      </c>
      <c r="E707" s="83">
        <v>0.097</v>
      </c>
      <c r="F707" s="85">
        <f>TRUNC(249.29,2)</f>
        <v>249.29</v>
      </c>
      <c r="G707" s="71">
        <f t="shared" si="47"/>
        <v>24.18</v>
      </c>
    </row>
    <row r="708" spans="1:7" ht="30">
      <c r="A708" s="82"/>
      <c r="B708" s="83" t="s">
        <v>349</v>
      </c>
      <c r="C708" s="84" t="s">
        <v>350</v>
      </c>
      <c r="D708" s="83" t="s">
        <v>0</v>
      </c>
      <c r="E708" s="83">
        <v>1.1224</v>
      </c>
      <c r="F708" s="85">
        <f>TRUNC(15.96,2)</f>
        <v>15.96</v>
      </c>
      <c r="G708" s="71">
        <f t="shared" si="47"/>
        <v>17.91</v>
      </c>
    </row>
    <row r="709" spans="1:7" ht="15.75">
      <c r="A709" s="82"/>
      <c r="B709" s="83" t="s">
        <v>258</v>
      </c>
      <c r="C709" s="84" t="s">
        <v>259</v>
      </c>
      <c r="D709" s="83" t="s">
        <v>2</v>
      </c>
      <c r="E709" s="83">
        <v>0.2</v>
      </c>
      <c r="F709" s="85">
        <f>TRUNC(0.95,2)</f>
        <v>0.95</v>
      </c>
      <c r="G709" s="71">
        <f t="shared" si="47"/>
        <v>0.19</v>
      </c>
    </row>
    <row r="710" spans="1:7" ht="30">
      <c r="A710" s="82"/>
      <c r="B710" s="83" t="s">
        <v>351</v>
      </c>
      <c r="C710" s="84" t="s">
        <v>352</v>
      </c>
      <c r="D710" s="83" t="s">
        <v>2</v>
      </c>
      <c r="E710" s="83">
        <v>0.25</v>
      </c>
      <c r="F710" s="85">
        <f>TRUNC(12.36,2)</f>
        <v>12.36</v>
      </c>
      <c r="G710" s="71">
        <f t="shared" si="47"/>
        <v>3.09</v>
      </c>
    </row>
    <row r="711" spans="1:7" ht="15.75">
      <c r="A711" s="82"/>
      <c r="B711" s="83" t="s">
        <v>353</v>
      </c>
      <c r="C711" s="84" t="s">
        <v>354</v>
      </c>
      <c r="D711" s="83" t="s">
        <v>0</v>
      </c>
      <c r="E711" s="83">
        <v>1.128</v>
      </c>
      <c r="F711" s="85">
        <f>TRUNC(0.77,2)</f>
        <v>0.77</v>
      </c>
      <c r="G711" s="71">
        <f t="shared" si="47"/>
        <v>0.86</v>
      </c>
    </row>
    <row r="712" spans="1:7" ht="15.75">
      <c r="A712" s="82"/>
      <c r="B712" s="83" t="s">
        <v>243</v>
      </c>
      <c r="C712" s="84" t="s">
        <v>178</v>
      </c>
      <c r="D712" s="83" t="s">
        <v>128</v>
      </c>
      <c r="E712" s="83">
        <v>0.3193</v>
      </c>
      <c r="F712" s="85">
        <f>TRUNC(18.78,2)</f>
        <v>18.78</v>
      </c>
      <c r="G712" s="71">
        <f t="shared" si="47"/>
        <v>5.99</v>
      </c>
    </row>
    <row r="713" spans="1:7" ht="15.75">
      <c r="A713" s="82"/>
      <c r="B713" s="83" t="s">
        <v>250</v>
      </c>
      <c r="C713" s="84" t="s">
        <v>251</v>
      </c>
      <c r="D713" s="83" t="s">
        <v>128</v>
      </c>
      <c r="E713" s="83">
        <v>0.1388</v>
      </c>
      <c r="F713" s="85">
        <f>TRUNC(23.61,2)</f>
        <v>23.61</v>
      </c>
      <c r="G713" s="71">
        <f t="shared" si="47"/>
        <v>3.27</v>
      </c>
    </row>
    <row r="714" spans="1:7" ht="15.75">
      <c r="A714" s="82"/>
      <c r="B714" s="83" t="s">
        <v>355</v>
      </c>
      <c r="C714" s="84" t="s">
        <v>356</v>
      </c>
      <c r="D714" s="83" t="s">
        <v>128</v>
      </c>
      <c r="E714" s="83">
        <v>0.1805</v>
      </c>
      <c r="F714" s="85">
        <f>TRUNC(23.48,2)</f>
        <v>23.48</v>
      </c>
      <c r="G714" s="71">
        <f t="shared" si="47"/>
        <v>4.23</v>
      </c>
    </row>
    <row r="715" spans="1:7" ht="15.75">
      <c r="A715" s="82"/>
      <c r="B715" s="83"/>
      <c r="C715" s="84"/>
      <c r="D715" s="83"/>
      <c r="E715" s="83" t="s">
        <v>3</v>
      </c>
      <c r="F715" s="85"/>
      <c r="G715" s="71">
        <f>TRUNC(SUM(G707:G714),2)</f>
        <v>59.72</v>
      </c>
    </row>
    <row r="716" spans="1:7" ht="45">
      <c r="A716" s="31" t="s">
        <v>43</v>
      </c>
      <c r="B716" s="87" t="s">
        <v>480</v>
      </c>
      <c r="C716" s="87" t="s">
        <v>96</v>
      </c>
      <c r="D716" s="86" t="s">
        <v>0</v>
      </c>
      <c r="E716" s="99"/>
      <c r="F716" s="99">
        <f>TRUNC((F717+F722),2)</f>
        <v>56.07</v>
      </c>
      <c r="G716" s="73">
        <f>TRUNC((E716*F716),2)</f>
        <v>0</v>
      </c>
    </row>
    <row r="717" spans="1:7" ht="45">
      <c r="A717" s="78"/>
      <c r="B717" s="79" t="s">
        <v>357</v>
      </c>
      <c r="C717" s="80" t="s">
        <v>358</v>
      </c>
      <c r="D717" s="79" t="s">
        <v>0</v>
      </c>
      <c r="E717" s="79">
        <v>1</v>
      </c>
      <c r="F717" s="135">
        <f>G721</f>
        <v>24.12</v>
      </c>
      <c r="G717" s="66">
        <f>TRUNC(E717*F717,2)</f>
        <v>24.12</v>
      </c>
    </row>
    <row r="718" spans="1:7" ht="15.75">
      <c r="A718" s="82"/>
      <c r="B718" s="83" t="s">
        <v>209</v>
      </c>
      <c r="C718" s="84" t="s">
        <v>210</v>
      </c>
      <c r="D718" s="83" t="s">
        <v>128</v>
      </c>
      <c r="E718" s="83">
        <v>0.515</v>
      </c>
      <c r="F718" s="85">
        <f>TRUNC(14.47,2)</f>
        <v>14.47</v>
      </c>
      <c r="G718" s="71">
        <f>TRUNC(E718*F718,2)</f>
        <v>7.45</v>
      </c>
    </row>
    <row r="719" spans="1:7" ht="15.75">
      <c r="A719" s="82"/>
      <c r="B719" s="83" t="s">
        <v>299</v>
      </c>
      <c r="C719" s="84" t="s">
        <v>300</v>
      </c>
      <c r="D719" s="83" t="s">
        <v>128</v>
      </c>
      <c r="E719" s="83">
        <v>0.515</v>
      </c>
      <c r="F719" s="85">
        <f>TRUNC(19.97,2)</f>
        <v>19.97</v>
      </c>
      <c r="G719" s="71">
        <f>TRUNC(E719*F719,2)</f>
        <v>10.28</v>
      </c>
    </row>
    <row r="720" spans="1:7" ht="15.75">
      <c r="A720" s="82"/>
      <c r="B720" s="83" t="s">
        <v>292</v>
      </c>
      <c r="C720" s="84" t="s">
        <v>293</v>
      </c>
      <c r="D720" s="83" t="s">
        <v>1</v>
      </c>
      <c r="E720" s="83">
        <v>0.025</v>
      </c>
      <c r="F720" s="85">
        <f>TRUNC(255.6539,2)</f>
        <v>255.65</v>
      </c>
      <c r="G720" s="71">
        <f>TRUNC(E720*F720,2)</f>
        <v>6.39</v>
      </c>
    </row>
    <row r="721" spans="1:7" ht="15.75">
      <c r="A721" s="82"/>
      <c r="B721" s="83"/>
      <c r="C721" s="84"/>
      <c r="D721" s="83"/>
      <c r="E721" s="83" t="s">
        <v>3</v>
      </c>
      <c r="F721" s="133"/>
      <c r="G721" s="71">
        <f>TRUNC(SUM(G718:G720),2)</f>
        <v>24.12</v>
      </c>
    </row>
    <row r="722" spans="1:7" ht="45">
      <c r="A722" s="82"/>
      <c r="B722" s="83" t="s">
        <v>359</v>
      </c>
      <c r="C722" s="84" t="s">
        <v>360</v>
      </c>
      <c r="D722" s="83" t="s">
        <v>0</v>
      </c>
      <c r="E722" s="83">
        <v>1</v>
      </c>
      <c r="F722" s="133">
        <f>G726</f>
        <v>31.95</v>
      </c>
      <c r="G722" s="71">
        <f>TRUNC(E722*F722,2)</f>
        <v>31.95</v>
      </c>
    </row>
    <row r="723" spans="1:7" ht="15.75">
      <c r="A723" s="82"/>
      <c r="B723" s="83" t="s">
        <v>209</v>
      </c>
      <c r="C723" s="84" t="s">
        <v>210</v>
      </c>
      <c r="D723" s="83" t="s">
        <v>128</v>
      </c>
      <c r="E723" s="83">
        <v>0.7931</v>
      </c>
      <c r="F723" s="85">
        <f>TRUNC(14.47,2)</f>
        <v>14.47</v>
      </c>
      <c r="G723" s="71">
        <f>TRUNC(E723*F723,2)</f>
        <v>11.47</v>
      </c>
    </row>
    <row r="724" spans="1:7" ht="15.75">
      <c r="A724" s="82"/>
      <c r="B724" s="83" t="s">
        <v>299</v>
      </c>
      <c r="C724" s="84" t="s">
        <v>300</v>
      </c>
      <c r="D724" s="83" t="s">
        <v>128</v>
      </c>
      <c r="E724" s="83">
        <v>0.8240000000000001</v>
      </c>
      <c r="F724" s="85">
        <f>TRUNC(19.97,2)</f>
        <v>19.97</v>
      </c>
      <c r="G724" s="71">
        <f>TRUNC(E724*F724,2)</f>
        <v>16.45</v>
      </c>
    </row>
    <row r="725" spans="1:7" ht="15.75">
      <c r="A725" s="82"/>
      <c r="B725" s="83" t="s">
        <v>361</v>
      </c>
      <c r="C725" s="84" t="s">
        <v>362</v>
      </c>
      <c r="D725" s="83" t="s">
        <v>1</v>
      </c>
      <c r="E725" s="83">
        <v>0.015</v>
      </c>
      <c r="F725" s="85">
        <f>TRUNC(269.1067,2)</f>
        <v>269.1</v>
      </c>
      <c r="G725" s="71">
        <f>TRUNC(E725*F725,2)</f>
        <v>4.03</v>
      </c>
    </row>
    <row r="726" spans="1:7" ht="15.75">
      <c r="A726" s="82"/>
      <c r="B726" s="83"/>
      <c r="C726" s="84"/>
      <c r="D726" s="83"/>
      <c r="E726" s="83" t="s">
        <v>3</v>
      </c>
      <c r="F726" s="133"/>
      <c r="G726" s="71">
        <f>TRUNC(SUM(G723:G725),2)</f>
        <v>31.95</v>
      </c>
    </row>
    <row r="727" spans="1:7" ht="45">
      <c r="A727" s="26" t="s">
        <v>61</v>
      </c>
      <c r="B727" s="109" t="s">
        <v>152</v>
      </c>
      <c r="C727" s="122" t="s">
        <v>97</v>
      </c>
      <c r="D727" s="121" t="s">
        <v>0</v>
      </c>
      <c r="E727" s="123"/>
      <c r="F727" s="121">
        <f>TRUNC(F728,2)</f>
        <v>207.27</v>
      </c>
      <c r="G727" s="106">
        <f>TRUNC((E727*F727),2)</f>
        <v>0</v>
      </c>
    </row>
    <row r="728" spans="1:7" ht="45">
      <c r="A728" s="78"/>
      <c r="B728" s="79" t="s">
        <v>363</v>
      </c>
      <c r="C728" s="80" t="s">
        <v>97</v>
      </c>
      <c r="D728" s="79" t="s">
        <v>0</v>
      </c>
      <c r="E728" s="79">
        <v>1</v>
      </c>
      <c r="F728" s="81">
        <f>G736</f>
        <v>207.27</v>
      </c>
      <c r="G728" s="66">
        <f aca="true" t="shared" si="48" ref="G728:G735">TRUNC(E728*F728,2)</f>
        <v>207.27</v>
      </c>
    </row>
    <row r="729" spans="1:7" s="141" customFormat="1" ht="15.75">
      <c r="A729" s="136"/>
      <c r="B729" s="137" t="s">
        <v>153</v>
      </c>
      <c r="C729" s="138" t="s">
        <v>154</v>
      </c>
      <c r="D729" s="137" t="s">
        <v>0</v>
      </c>
      <c r="E729" s="137">
        <v>1.05</v>
      </c>
      <c r="F729" s="139">
        <f>'COTAÇÕES DE MERCADO'!F4:G4</f>
        <v>143.64</v>
      </c>
      <c r="G729" s="140">
        <f t="shared" si="48"/>
        <v>150.82</v>
      </c>
    </row>
    <row r="730" spans="1:7" ht="15.75">
      <c r="A730" s="82"/>
      <c r="B730" s="83" t="s">
        <v>155</v>
      </c>
      <c r="C730" s="84" t="s">
        <v>364</v>
      </c>
      <c r="D730" s="83" t="s">
        <v>125</v>
      </c>
      <c r="E730" s="83">
        <v>0.1</v>
      </c>
      <c r="F730" s="85">
        <f>TRUNC(32,2)</f>
        <v>32</v>
      </c>
      <c r="G730" s="71">
        <f t="shared" si="48"/>
        <v>3.2</v>
      </c>
    </row>
    <row r="731" spans="1:7" ht="15.75">
      <c r="A731" s="82"/>
      <c r="B731" s="83" t="s">
        <v>156</v>
      </c>
      <c r="C731" s="84" t="s">
        <v>365</v>
      </c>
      <c r="D731" s="83" t="s">
        <v>125</v>
      </c>
      <c r="E731" s="83">
        <v>0.1</v>
      </c>
      <c r="F731" s="85">
        <f>TRUNC(1.75,2)</f>
        <v>1.75</v>
      </c>
      <c r="G731" s="71">
        <f t="shared" si="48"/>
        <v>0.17</v>
      </c>
    </row>
    <row r="732" spans="1:7" ht="15.75">
      <c r="A732" s="82"/>
      <c r="B732" s="83" t="s">
        <v>209</v>
      </c>
      <c r="C732" s="84" t="s">
        <v>210</v>
      </c>
      <c r="D732" s="83" t="s">
        <v>128</v>
      </c>
      <c r="E732" s="83">
        <v>1.1330000000000002</v>
      </c>
      <c r="F732" s="85">
        <f>TRUNC(14.47,2)</f>
        <v>14.47</v>
      </c>
      <c r="G732" s="71">
        <f t="shared" si="48"/>
        <v>16.39</v>
      </c>
    </row>
    <row r="733" spans="1:7" ht="15.75">
      <c r="A733" s="82"/>
      <c r="B733" s="83" t="s">
        <v>366</v>
      </c>
      <c r="C733" s="84" t="s">
        <v>367</v>
      </c>
      <c r="D733" s="83" t="s">
        <v>128</v>
      </c>
      <c r="E733" s="83">
        <v>1.1330000000000002</v>
      </c>
      <c r="F733" s="85">
        <f>TRUNC(21.49,2)</f>
        <v>21.49</v>
      </c>
      <c r="G733" s="71">
        <f t="shared" si="48"/>
        <v>24.34</v>
      </c>
    </row>
    <row r="734" spans="1:7" ht="15.75">
      <c r="A734" s="82"/>
      <c r="B734" s="83" t="s">
        <v>368</v>
      </c>
      <c r="C734" s="84" t="s">
        <v>369</v>
      </c>
      <c r="D734" s="83" t="s">
        <v>1</v>
      </c>
      <c r="E734" s="83">
        <v>0.035</v>
      </c>
      <c r="F734" s="85">
        <f>TRUNC(320.2951,2)</f>
        <v>320.29</v>
      </c>
      <c r="G734" s="71">
        <f t="shared" si="48"/>
        <v>11.21</v>
      </c>
    </row>
    <row r="735" spans="1:7" ht="15.75">
      <c r="A735" s="82"/>
      <c r="B735" s="83" t="s">
        <v>370</v>
      </c>
      <c r="C735" s="84" t="s">
        <v>371</v>
      </c>
      <c r="D735" s="83" t="s">
        <v>1</v>
      </c>
      <c r="E735" s="83">
        <v>0.002</v>
      </c>
      <c r="F735" s="85">
        <f>TRUNC(571.6369,2)</f>
        <v>571.63</v>
      </c>
      <c r="G735" s="71">
        <f t="shared" si="48"/>
        <v>1.14</v>
      </c>
    </row>
    <row r="736" spans="1:7" ht="15.75">
      <c r="A736" s="82"/>
      <c r="B736" s="83"/>
      <c r="C736" s="84"/>
      <c r="D736" s="83"/>
      <c r="E736" s="83" t="s">
        <v>3</v>
      </c>
      <c r="F736" s="85"/>
      <c r="G736" s="71">
        <f>TRUNC(SUM(G729:G735),2)</f>
        <v>207.27</v>
      </c>
    </row>
    <row r="737" spans="1:7" ht="45">
      <c r="A737" s="24" t="s">
        <v>62</v>
      </c>
      <c r="B737" s="109" t="s">
        <v>157</v>
      </c>
      <c r="C737" s="109" t="s">
        <v>98</v>
      </c>
      <c r="D737" s="108" t="s">
        <v>0</v>
      </c>
      <c r="E737" s="142"/>
      <c r="F737" s="142">
        <f>TRUNC(G738,2)</f>
        <v>207.27</v>
      </c>
      <c r="G737" s="111">
        <f>TRUNC((E737*F737),2)</f>
        <v>0</v>
      </c>
    </row>
    <row r="738" spans="1:7" ht="45">
      <c r="A738" s="78"/>
      <c r="B738" s="79" t="s">
        <v>372</v>
      </c>
      <c r="C738" s="80" t="s">
        <v>98</v>
      </c>
      <c r="D738" s="79" t="s">
        <v>0</v>
      </c>
      <c r="E738" s="79">
        <v>1</v>
      </c>
      <c r="F738" s="81">
        <f>G746</f>
        <v>207.27</v>
      </c>
      <c r="G738" s="66">
        <f aca="true" t="shared" si="49" ref="G738:G745">TRUNC(E738*F738,2)</f>
        <v>207.27</v>
      </c>
    </row>
    <row r="739" spans="1:7" s="141" customFormat="1" ht="15.75">
      <c r="A739" s="136"/>
      <c r="B739" s="137" t="s">
        <v>153</v>
      </c>
      <c r="C739" s="138" t="s">
        <v>158</v>
      </c>
      <c r="D739" s="137" t="s">
        <v>0</v>
      </c>
      <c r="E739" s="137">
        <v>1.05</v>
      </c>
      <c r="F739" s="139">
        <f>'COTAÇÕES DE MERCADO'!F14:G14</f>
        <v>143.64</v>
      </c>
      <c r="G739" s="140">
        <f t="shared" si="49"/>
        <v>150.82</v>
      </c>
    </row>
    <row r="740" spans="1:7" ht="15.75">
      <c r="A740" s="82"/>
      <c r="B740" s="83" t="s">
        <v>155</v>
      </c>
      <c r="C740" s="84" t="s">
        <v>364</v>
      </c>
      <c r="D740" s="83" t="s">
        <v>125</v>
      </c>
      <c r="E740" s="83">
        <v>0.1</v>
      </c>
      <c r="F740" s="85">
        <f>TRUNC(32,2)</f>
        <v>32</v>
      </c>
      <c r="G740" s="71">
        <f t="shared" si="49"/>
        <v>3.2</v>
      </c>
    </row>
    <row r="741" spans="1:7" ht="15.75">
      <c r="A741" s="82"/>
      <c r="B741" s="83" t="s">
        <v>156</v>
      </c>
      <c r="C741" s="84" t="s">
        <v>365</v>
      </c>
      <c r="D741" s="83" t="s">
        <v>125</v>
      </c>
      <c r="E741" s="83">
        <v>0.1</v>
      </c>
      <c r="F741" s="85">
        <f>TRUNC(1.75,2)</f>
        <v>1.75</v>
      </c>
      <c r="G741" s="71">
        <f t="shared" si="49"/>
        <v>0.17</v>
      </c>
    </row>
    <row r="742" spans="1:7" ht="15.75">
      <c r="A742" s="82"/>
      <c r="B742" s="83" t="s">
        <v>209</v>
      </c>
      <c r="C742" s="84" t="s">
        <v>210</v>
      </c>
      <c r="D742" s="83" t="s">
        <v>128</v>
      </c>
      <c r="E742" s="83">
        <v>1.1330000000000002</v>
      </c>
      <c r="F742" s="85">
        <f>TRUNC(14.47,2)</f>
        <v>14.47</v>
      </c>
      <c r="G742" s="71">
        <f t="shared" si="49"/>
        <v>16.39</v>
      </c>
    </row>
    <row r="743" spans="1:7" ht="15.75">
      <c r="A743" s="82"/>
      <c r="B743" s="83" t="s">
        <v>366</v>
      </c>
      <c r="C743" s="84" t="s">
        <v>367</v>
      </c>
      <c r="D743" s="83" t="s">
        <v>128</v>
      </c>
      <c r="E743" s="83">
        <v>1.1330000000000002</v>
      </c>
      <c r="F743" s="85">
        <f>TRUNC(21.49,2)</f>
        <v>21.49</v>
      </c>
      <c r="G743" s="71">
        <f t="shared" si="49"/>
        <v>24.34</v>
      </c>
    </row>
    <row r="744" spans="1:7" ht="15.75">
      <c r="A744" s="82"/>
      <c r="B744" s="83" t="s">
        <v>368</v>
      </c>
      <c r="C744" s="84" t="s">
        <v>369</v>
      </c>
      <c r="D744" s="83" t="s">
        <v>1</v>
      </c>
      <c r="E744" s="83">
        <v>0.035</v>
      </c>
      <c r="F744" s="85">
        <f>TRUNC(320.2951,2)</f>
        <v>320.29</v>
      </c>
      <c r="G744" s="71">
        <f t="shared" si="49"/>
        <v>11.21</v>
      </c>
    </row>
    <row r="745" spans="1:7" ht="15.75">
      <c r="A745" s="82"/>
      <c r="B745" s="83" t="s">
        <v>370</v>
      </c>
      <c r="C745" s="84" t="s">
        <v>371</v>
      </c>
      <c r="D745" s="83" t="s">
        <v>1</v>
      </c>
      <c r="E745" s="83">
        <v>0.002</v>
      </c>
      <c r="F745" s="85">
        <f>TRUNC(571.6369,2)</f>
        <v>571.63</v>
      </c>
      <c r="G745" s="71">
        <f t="shared" si="49"/>
        <v>1.14</v>
      </c>
    </row>
    <row r="746" spans="1:7" ht="15.75">
      <c r="A746" s="82"/>
      <c r="B746" s="83"/>
      <c r="C746" s="84"/>
      <c r="D746" s="83"/>
      <c r="E746" s="83" t="s">
        <v>3</v>
      </c>
      <c r="F746" s="85"/>
      <c r="G746" s="71">
        <f>TRUNC(SUM(G739:G745),2)</f>
        <v>207.27</v>
      </c>
    </row>
    <row r="747" spans="1:8" ht="30">
      <c r="A747" s="75" t="s">
        <v>63</v>
      </c>
      <c r="B747" s="77" t="s">
        <v>373</v>
      </c>
      <c r="C747" s="77" t="s">
        <v>99</v>
      </c>
      <c r="D747" s="76" t="s">
        <v>0</v>
      </c>
      <c r="E747" s="119"/>
      <c r="F747" s="119">
        <f>TRUNC(F748,2)</f>
        <v>24.84</v>
      </c>
      <c r="G747" s="63">
        <f>TRUNC((E747*F747),2)</f>
        <v>0</v>
      </c>
      <c r="H747" s="32"/>
    </row>
    <row r="748" spans="1:7" ht="45">
      <c r="A748" s="78"/>
      <c r="B748" s="79" t="s">
        <v>373</v>
      </c>
      <c r="C748" s="80" t="s">
        <v>374</v>
      </c>
      <c r="D748" s="79" t="s">
        <v>0</v>
      </c>
      <c r="E748" s="79">
        <v>1</v>
      </c>
      <c r="F748" s="81">
        <f>G755</f>
        <v>24.84</v>
      </c>
      <c r="G748" s="143">
        <f aca="true" t="shared" si="50" ref="G748:G754">TRUNC(E748*F748,2)</f>
        <v>24.84</v>
      </c>
    </row>
    <row r="749" spans="1:7" ht="30">
      <c r="A749" s="82"/>
      <c r="B749" s="83" t="s">
        <v>124</v>
      </c>
      <c r="C749" s="84" t="s">
        <v>207</v>
      </c>
      <c r="D749" s="83" t="s">
        <v>125</v>
      </c>
      <c r="E749" s="83">
        <v>0.1</v>
      </c>
      <c r="F749" s="85">
        <f>TRUNC(8.39,2)</f>
        <v>8.39</v>
      </c>
      <c r="G749" s="71">
        <f t="shared" si="50"/>
        <v>0.83</v>
      </c>
    </row>
    <row r="750" spans="1:7" ht="15.75">
      <c r="A750" s="82"/>
      <c r="B750" s="83" t="s">
        <v>159</v>
      </c>
      <c r="C750" s="84" t="s">
        <v>375</v>
      </c>
      <c r="D750" s="83" t="s">
        <v>2</v>
      </c>
      <c r="E750" s="83">
        <v>0.83</v>
      </c>
      <c r="F750" s="85">
        <f>TRUNC(5.3,2)</f>
        <v>5.3</v>
      </c>
      <c r="G750" s="71">
        <f t="shared" si="50"/>
        <v>4.39</v>
      </c>
    </row>
    <row r="751" spans="1:7" ht="15.75">
      <c r="A751" s="82"/>
      <c r="B751" s="83" t="s">
        <v>209</v>
      </c>
      <c r="C751" s="84" t="s">
        <v>210</v>
      </c>
      <c r="D751" s="83" t="s">
        <v>128</v>
      </c>
      <c r="E751" s="83">
        <v>0.515</v>
      </c>
      <c r="F751" s="85">
        <f>TRUNC(14.47,2)</f>
        <v>14.47</v>
      </c>
      <c r="G751" s="71">
        <f t="shared" si="50"/>
        <v>7.45</v>
      </c>
    </row>
    <row r="752" spans="1:7" ht="30">
      <c r="A752" s="82"/>
      <c r="B752" s="83" t="s">
        <v>328</v>
      </c>
      <c r="C752" s="84" t="s">
        <v>329</v>
      </c>
      <c r="D752" s="83" t="s">
        <v>128</v>
      </c>
      <c r="E752" s="83">
        <v>0.41200000000000003</v>
      </c>
      <c r="F752" s="85">
        <f>TRUNC(19.97,2)</f>
        <v>19.97</v>
      </c>
      <c r="G752" s="71">
        <f t="shared" si="50"/>
        <v>8.22</v>
      </c>
    </row>
    <row r="753" spans="1:7" ht="15.75">
      <c r="A753" s="82"/>
      <c r="B753" s="83" t="s">
        <v>376</v>
      </c>
      <c r="C753" s="84" t="s">
        <v>377</v>
      </c>
      <c r="D753" s="83" t="s">
        <v>0</v>
      </c>
      <c r="E753" s="83">
        <v>1</v>
      </c>
      <c r="F753" s="85">
        <f>TRUNC(2.8193,2)</f>
        <v>2.81</v>
      </c>
      <c r="G753" s="71">
        <f t="shared" si="50"/>
        <v>2.81</v>
      </c>
    </row>
    <row r="754" spans="1:7" ht="15.75">
      <c r="A754" s="82"/>
      <c r="B754" s="83" t="s">
        <v>378</v>
      </c>
      <c r="C754" s="84" t="s">
        <v>379</v>
      </c>
      <c r="D754" s="83" t="s">
        <v>2</v>
      </c>
      <c r="E754" s="83">
        <v>0.66</v>
      </c>
      <c r="F754" s="85">
        <f>TRUNC(1.7445,2)</f>
        <v>1.74</v>
      </c>
      <c r="G754" s="71">
        <f t="shared" si="50"/>
        <v>1.14</v>
      </c>
    </row>
    <row r="755" spans="1:7" ht="15.75">
      <c r="A755" s="82"/>
      <c r="B755" s="83"/>
      <c r="C755" s="84"/>
      <c r="D755" s="83"/>
      <c r="E755" s="83" t="s">
        <v>3</v>
      </c>
      <c r="F755" s="85"/>
      <c r="G755" s="71">
        <f>TRUNC(SUM(G749:G754),2)</f>
        <v>24.84</v>
      </c>
    </row>
    <row r="756" spans="1:8" s="19" customFormat="1" ht="15.75">
      <c r="A756" s="90"/>
      <c r="B756" s="91"/>
      <c r="C756" s="92"/>
      <c r="D756" s="91"/>
      <c r="E756" s="91"/>
      <c r="F756" s="91" t="s">
        <v>120</v>
      </c>
      <c r="G756" s="93">
        <f>G700+G705+G727+G716+G747+G737</f>
        <v>0</v>
      </c>
      <c r="H756" s="35"/>
    </row>
    <row r="757" spans="1:9" s="196" customFormat="1" ht="36.75" customHeight="1">
      <c r="A757" s="189" t="s">
        <v>24</v>
      </c>
      <c r="B757" s="190"/>
      <c r="C757" s="188" t="s">
        <v>380</v>
      </c>
      <c r="D757" s="191"/>
      <c r="E757" s="191"/>
      <c r="F757" s="192"/>
      <c r="G757" s="193"/>
      <c r="H757" s="194"/>
      <c r="I757" s="195"/>
    </row>
    <row r="758" spans="1:7" ht="75">
      <c r="A758" s="21" t="s">
        <v>37</v>
      </c>
      <c r="B758" s="25" t="s">
        <v>108</v>
      </c>
      <c r="C758" s="15" t="s">
        <v>109</v>
      </c>
      <c r="D758" s="45" t="s">
        <v>0</v>
      </c>
      <c r="E758" s="46"/>
      <c r="F758" s="120">
        <f>TRUNC(F759,2)</f>
        <v>435.47</v>
      </c>
      <c r="G758" s="63">
        <f>TRUNC((E758*F758),2)</f>
        <v>0</v>
      </c>
    </row>
    <row r="759" spans="1:7" ht="75">
      <c r="A759" s="78"/>
      <c r="B759" s="18" t="s">
        <v>381</v>
      </c>
      <c r="C759" s="80" t="s">
        <v>109</v>
      </c>
      <c r="D759" s="79" t="s">
        <v>0</v>
      </c>
      <c r="E759" s="79">
        <v>1</v>
      </c>
      <c r="F759" s="81">
        <f>G766</f>
        <v>435.47</v>
      </c>
      <c r="G759" s="66">
        <f aca="true" t="shared" si="51" ref="G759:G765">TRUNC(E759*F759,2)</f>
        <v>435.47</v>
      </c>
    </row>
    <row r="760" spans="1:7" ht="30">
      <c r="A760" s="82"/>
      <c r="B760" s="113" t="s">
        <v>382</v>
      </c>
      <c r="C760" s="84" t="s">
        <v>383</v>
      </c>
      <c r="D760" s="83" t="s">
        <v>0</v>
      </c>
      <c r="E760" s="83">
        <v>1</v>
      </c>
      <c r="F760" s="85">
        <f>TRUNC(46.6738,2)</f>
        <v>46.67</v>
      </c>
      <c r="G760" s="71">
        <f t="shared" si="51"/>
        <v>46.67</v>
      </c>
    </row>
    <row r="761" spans="1:7" ht="30">
      <c r="A761" s="82"/>
      <c r="B761" s="113" t="s">
        <v>384</v>
      </c>
      <c r="C761" s="84" t="s">
        <v>385</v>
      </c>
      <c r="D761" s="83" t="s">
        <v>0</v>
      </c>
      <c r="E761" s="83">
        <v>1</v>
      </c>
      <c r="F761" s="85">
        <f>TRUNC(214.7442,2)</f>
        <v>214.74</v>
      </c>
      <c r="G761" s="71">
        <f t="shared" si="51"/>
        <v>214.74</v>
      </c>
    </row>
    <row r="762" spans="1:7" ht="30">
      <c r="A762" s="82"/>
      <c r="B762" s="113" t="s">
        <v>386</v>
      </c>
      <c r="C762" s="84" t="s">
        <v>387</v>
      </c>
      <c r="D762" s="83" t="s">
        <v>0</v>
      </c>
      <c r="E762" s="83">
        <v>1</v>
      </c>
      <c r="F762" s="85">
        <f>TRUNC(32.8787,2)</f>
        <v>32.87</v>
      </c>
      <c r="G762" s="71">
        <f t="shared" si="51"/>
        <v>32.87</v>
      </c>
    </row>
    <row r="763" spans="1:7" ht="30">
      <c r="A763" s="82"/>
      <c r="B763" s="113" t="s">
        <v>388</v>
      </c>
      <c r="C763" s="84" t="s">
        <v>389</v>
      </c>
      <c r="D763" s="83" t="s">
        <v>0</v>
      </c>
      <c r="E763" s="83">
        <v>1</v>
      </c>
      <c r="F763" s="85">
        <f>TRUNC(57.8102,2)</f>
        <v>57.81</v>
      </c>
      <c r="G763" s="71">
        <f t="shared" si="51"/>
        <v>57.81</v>
      </c>
    </row>
    <row r="764" spans="1:7" ht="30">
      <c r="A764" s="82"/>
      <c r="B764" s="113" t="s">
        <v>390</v>
      </c>
      <c r="C764" s="84" t="s">
        <v>391</v>
      </c>
      <c r="D764" s="83" t="s">
        <v>0</v>
      </c>
      <c r="E764" s="83">
        <v>1</v>
      </c>
      <c r="F764" s="85">
        <f>TRUNC(10.724,2)</f>
        <v>10.72</v>
      </c>
      <c r="G764" s="71">
        <f t="shared" si="51"/>
        <v>10.72</v>
      </c>
    </row>
    <row r="765" spans="1:7" ht="45">
      <c r="A765" s="82"/>
      <c r="B765" s="113" t="s">
        <v>392</v>
      </c>
      <c r="C765" s="84" t="s">
        <v>393</v>
      </c>
      <c r="D765" s="83" t="s">
        <v>0</v>
      </c>
      <c r="E765" s="83">
        <v>1</v>
      </c>
      <c r="F765" s="85">
        <f>TRUNC(72.6685,2)</f>
        <v>72.66</v>
      </c>
      <c r="G765" s="71">
        <f t="shared" si="51"/>
        <v>72.66</v>
      </c>
    </row>
    <row r="766" spans="1:7" ht="15.75">
      <c r="A766" s="82"/>
      <c r="B766" s="113"/>
      <c r="C766" s="84"/>
      <c r="D766" s="83"/>
      <c r="E766" s="83" t="s">
        <v>3</v>
      </c>
      <c r="F766" s="85"/>
      <c r="G766" s="71">
        <f>TRUNC(SUM(G760:G765),2)</f>
        <v>435.47</v>
      </c>
    </row>
    <row r="767" spans="1:7" ht="60.75">
      <c r="A767" s="21" t="s">
        <v>35</v>
      </c>
      <c r="B767" s="25" t="s">
        <v>110</v>
      </c>
      <c r="C767" s="15" t="s">
        <v>160</v>
      </c>
      <c r="D767" s="45" t="s">
        <v>111</v>
      </c>
      <c r="E767" s="46"/>
      <c r="F767" s="120">
        <v>362.43</v>
      </c>
      <c r="G767" s="63">
        <f>TRUNC((E767*F767),2)</f>
        <v>0</v>
      </c>
    </row>
    <row r="768" spans="1:7" s="150" customFormat="1" ht="60">
      <c r="A768" s="144"/>
      <c r="B768" s="145" t="s">
        <v>110</v>
      </c>
      <c r="C768" s="146" t="s">
        <v>161</v>
      </c>
      <c r="D768" s="147" t="s">
        <v>111</v>
      </c>
      <c r="E768" s="148"/>
      <c r="F768" s="148"/>
      <c r="G768" s="149">
        <f>TRUNC(G773,2)</f>
        <v>362.44</v>
      </c>
    </row>
    <row r="769" spans="1:7" s="150" customFormat="1" ht="15">
      <c r="A769" s="151"/>
      <c r="B769" s="152" t="s">
        <v>162</v>
      </c>
      <c r="C769" s="153" t="s">
        <v>163</v>
      </c>
      <c r="D769" s="154"/>
      <c r="E769" s="155"/>
      <c r="F769" s="155"/>
      <c r="G769" s="156"/>
    </row>
    <row r="770" spans="1:13" s="150" customFormat="1" ht="30">
      <c r="A770" s="151"/>
      <c r="B770" s="157" t="s">
        <v>394</v>
      </c>
      <c r="C770" s="158" t="s">
        <v>395</v>
      </c>
      <c r="D770" s="154" t="s">
        <v>2</v>
      </c>
      <c r="E770" s="155">
        <v>3</v>
      </c>
      <c r="F770" s="155">
        <v>66.76</v>
      </c>
      <c r="G770" s="156">
        <f>TRUNC(E770*F770,2)</f>
        <v>200.28</v>
      </c>
      <c r="M770" s="150">
        <f>TRUNC(66.76068,2)</f>
        <v>66.76</v>
      </c>
    </row>
    <row r="771" spans="1:13" s="150" customFormat="1" ht="45">
      <c r="A771" s="151"/>
      <c r="B771" s="157" t="s">
        <v>396</v>
      </c>
      <c r="C771" s="158" t="s">
        <v>397</v>
      </c>
      <c r="D771" s="154" t="s">
        <v>9</v>
      </c>
      <c r="E771" s="155">
        <v>1</v>
      </c>
      <c r="F771" s="155">
        <v>29.46</v>
      </c>
      <c r="G771" s="156">
        <f>TRUNC(E771*F771,2)</f>
        <v>29.46</v>
      </c>
      <c r="M771" s="150">
        <f>TRUNC(29.46865,2)</f>
        <v>29.46</v>
      </c>
    </row>
    <row r="772" spans="1:13" s="150" customFormat="1" ht="45">
      <c r="A772" s="151"/>
      <c r="B772" s="157" t="s">
        <v>398</v>
      </c>
      <c r="C772" s="158" t="s">
        <v>399</v>
      </c>
      <c r="D772" s="154" t="s">
        <v>9</v>
      </c>
      <c r="E772" s="155">
        <v>1</v>
      </c>
      <c r="F772" s="155">
        <v>132.7</v>
      </c>
      <c r="G772" s="156">
        <f>TRUNC(E772*F772,2)</f>
        <v>132.7</v>
      </c>
      <c r="M772" s="150">
        <f>TRUNC(116.014435,2)</f>
        <v>116.01</v>
      </c>
    </row>
    <row r="773" spans="1:7" s="150" customFormat="1" ht="15">
      <c r="A773" s="159"/>
      <c r="B773" s="160"/>
      <c r="C773" s="161"/>
      <c r="D773" s="162" t="s">
        <v>3</v>
      </c>
      <c r="E773" s="163"/>
      <c r="F773" s="163"/>
      <c r="G773" s="164">
        <f>SUM(G770:G772)</f>
        <v>362.44</v>
      </c>
    </row>
    <row r="774" spans="1:7" ht="60.75">
      <c r="A774" s="29" t="s">
        <v>36</v>
      </c>
      <c r="B774" s="25" t="s">
        <v>110</v>
      </c>
      <c r="C774" s="15" t="s">
        <v>167</v>
      </c>
      <c r="D774" s="45" t="s">
        <v>111</v>
      </c>
      <c r="E774" s="107"/>
      <c r="F774" s="100">
        <f>TRUNC(G775,2)</f>
        <v>429.2</v>
      </c>
      <c r="G774" s="73">
        <f>TRUNC((E774*F774),2)</f>
        <v>0</v>
      </c>
    </row>
    <row r="775" spans="1:7" ht="60">
      <c r="A775" s="144"/>
      <c r="B775" s="145" t="s">
        <v>110</v>
      </c>
      <c r="C775" s="146" t="s">
        <v>161</v>
      </c>
      <c r="D775" s="147" t="s">
        <v>111</v>
      </c>
      <c r="E775" s="148"/>
      <c r="F775" s="148"/>
      <c r="G775" s="149">
        <f>G780</f>
        <v>429.2</v>
      </c>
    </row>
    <row r="776" spans="1:7" ht="15.75">
      <c r="A776" s="151"/>
      <c r="B776" s="152" t="s">
        <v>162</v>
      </c>
      <c r="C776" s="153" t="s">
        <v>163</v>
      </c>
      <c r="D776" s="154"/>
      <c r="E776" s="155"/>
      <c r="F776" s="155"/>
      <c r="G776" s="156"/>
    </row>
    <row r="777" spans="1:7" ht="15.75">
      <c r="A777" s="151"/>
      <c r="B777" s="157" t="s">
        <v>394</v>
      </c>
      <c r="C777" s="158" t="s">
        <v>164</v>
      </c>
      <c r="D777" s="154" t="s">
        <v>2</v>
      </c>
      <c r="E777" s="155">
        <v>4</v>
      </c>
      <c r="F777" s="155">
        <v>66.76</v>
      </c>
      <c r="G777" s="156">
        <f>TRUNC(E777*F777,2)</f>
        <v>267.04</v>
      </c>
    </row>
    <row r="778" spans="1:7" ht="45">
      <c r="A778" s="151"/>
      <c r="B778" s="157" t="s">
        <v>396</v>
      </c>
      <c r="C778" s="158" t="s">
        <v>165</v>
      </c>
      <c r="D778" s="154" t="s">
        <v>9</v>
      </c>
      <c r="E778" s="155">
        <v>1</v>
      </c>
      <c r="F778" s="155">
        <v>29.46</v>
      </c>
      <c r="G778" s="156">
        <f>TRUNC(E778*F778,2)</f>
        <v>29.46</v>
      </c>
    </row>
    <row r="779" spans="1:7" ht="45">
      <c r="A779" s="151"/>
      <c r="B779" s="157" t="s">
        <v>398</v>
      </c>
      <c r="C779" s="158" t="s">
        <v>166</v>
      </c>
      <c r="D779" s="154" t="s">
        <v>9</v>
      </c>
      <c r="E779" s="155">
        <v>1</v>
      </c>
      <c r="F779" s="155">
        <v>132.7</v>
      </c>
      <c r="G779" s="156">
        <f>TRUNC(E779*F779,2)</f>
        <v>132.7</v>
      </c>
    </row>
    <row r="780" spans="1:7" ht="15.75">
      <c r="A780" s="159"/>
      <c r="B780" s="160"/>
      <c r="C780" s="161"/>
      <c r="D780" s="162" t="s">
        <v>3</v>
      </c>
      <c r="E780" s="163"/>
      <c r="F780" s="163"/>
      <c r="G780" s="164">
        <f>SUM(G777:G779)</f>
        <v>429.2</v>
      </c>
    </row>
    <row r="781" spans="1:7" ht="30">
      <c r="A781" s="30" t="s">
        <v>38</v>
      </c>
      <c r="B781" s="26" t="s">
        <v>400</v>
      </c>
      <c r="C781" s="27" t="s">
        <v>112</v>
      </c>
      <c r="D781" s="49" t="s">
        <v>0</v>
      </c>
      <c r="E781" s="105"/>
      <c r="F781" s="124">
        <f>TRUNC(F782,2)</f>
        <v>14.78</v>
      </c>
      <c r="G781" s="106">
        <f>TRUNC((E781*F781),2)</f>
        <v>0</v>
      </c>
    </row>
    <row r="782" spans="1:7" ht="45">
      <c r="A782" s="78"/>
      <c r="B782" s="18" t="s">
        <v>400</v>
      </c>
      <c r="C782" s="80" t="s">
        <v>401</v>
      </c>
      <c r="D782" s="79" t="s">
        <v>0</v>
      </c>
      <c r="E782" s="79">
        <v>1</v>
      </c>
      <c r="F782" s="81">
        <f>G791</f>
        <v>14.78</v>
      </c>
      <c r="G782" s="66">
        <f aca="true" t="shared" si="52" ref="G782:G790">TRUNC(E782*F782,2)</f>
        <v>14.78</v>
      </c>
    </row>
    <row r="783" spans="1:7" ht="30">
      <c r="A783" s="82"/>
      <c r="B783" s="113" t="s">
        <v>168</v>
      </c>
      <c r="C783" s="84" t="s">
        <v>169</v>
      </c>
      <c r="D783" s="83" t="s">
        <v>9</v>
      </c>
      <c r="E783" s="83">
        <v>0.0055</v>
      </c>
      <c r="F783" s="85">
        <f>TRUNC(138.83,2)</f>
        <v>138.83</v>
      </c>
      <c r="G783" s="71">
        <f t="shared" si="52"/>
        <v>0.76</v>
      </c>
    </row>
    <row r="784" spans="1:7" ht="15.75">
      <c r="A784" s="82"/>
      <c r="B784" s="113" t="s">
        <v>170</v>
      </c>
      <c r="C784" s="84" t="s">
        <v>171</v>
      </c>
      <c r="D784" s="83" t="s">
        <v>125</v>
      </c>
      <c r="E784" s="83">
        <v>0.16</v>
      </c>
      <c r="F784" s="85">
        <f>TRUNC(3.53,2)</f>
        <v>3.53</v>
      </c>
      <c r="G784" s="71">
        <f t="shared" si="52"/>
        <v>0.56</v>
      </c>
    </row>
    <row r="785" spans="1:7" ht="15.75">
      <c r="A785" s="82"/>
      <c r="B785" s="113" t="s">
        <v>172</v>
      </c>
      <c r="C785" s="84" t="s">
        <v>173</v>
      </c>
      <c r="D785" s="83" t="s">
        <v>125</v>
      </c>
      <c r="E785" s="83">
        <v>0.25</v>
      </c>
      <c r="F785" s="85">
        <f>TRUNC(3.53,2)</f>
        <v>3.53</v>
      </c>
      <c r="G785" s="71">
        <f t="shared" si="52"/>
        <v>0.88</v>
      </c>
    </row>
    <row r="786" spans="1:7" ht="30">
      <c r="A786" s="82"/>
      <c r="B786" s="113" t="s">
        <v>174</v>
      </c>
      <c r="C786" s="84" t="s">
        <v>175</v>
      </c>
      <c r="D786" s="83" t="s">
        <v>9</v>
      </c>
      <c r="E786" s="83">
        <v>0.034</v>
      </c>
      <c r="F786" s="85">
        <f>TRUNC(112.02,2)</f>
        <v>112.02</v>
      </c>
      <c r="G786" s="71">
        <f t="shared" si="52"/>
        <v>3.8</v>
      </c>
    </row>
    <row r="787" spans="1:7" ht="15.75">
      <c r="A787" s="82"/>
      <c r="B787" s="113" t="s">
        <v>209</v>
      </c>
      <c r="C787" s="84" t="s">
        <v>210</v>
      </c>
      <c r="D787" s="83" t="s">
        <v>128</v>
      </c>
      <c r="E787" s="83">
        <v>0.1648</v>
      </c>
      <c r="F787" s="85">
        <f>TRUNC(14.47,2)</f>
        <v>14.47</v>
      </c>
      <c r="G787" s="71">
        <f t="shared" si="52"/>
        <v>2.38</v>
      </c>
    </row>
    <row r="788" spans="1:7" ht="15.75">
      <c r="A788" s="82"/>
      <c r="B788" s="113" t="s">
        <v>402</v>
      </c>
      <c r="C788" s="84" t="s">
        <v>403</v>
      </c>
      <c r="D788" s="83" t="s">
        <v>128</v>
      </c>
      <c r="E788" s="83">
        <v>0.06592</v>
      </c>
      <c r="F788" s="85">
        <f>TRUNC(15.22,2)</f>
        <v>15.22</v>
      </c>
      <c r="G788" s="71">
        <f t="shared" si="52"/>
        <v>1</v>
      </c>
    </row>
    <row r="789" spans="1:7" ht="15.75">
      <c r="A789" s="82"/>
      <c r="B789" s="113" t="s">
        <v>404</v>
      </c>
      <c r="C789" s="84" t="s">
        <v>405</v>
      </c>
      <c r="D789" s="83" t="s">
        <v>128</v>
      </c>
      <c r="E789" s="83">
        <v>0.02</v>
      </c>
      <c r="F789" s="85">
        <f>TRUNC(112.2084,2)</f>
        <v>112.2</v>
      </c>
      <c r="G789" s="71">
        <f t="shared" si="52"/>
        <v>2.24</v>
      </c>
    </row>
    <row r="790" spans="1:7" ht="15.75">
      <c r="A790" s="82"/>
      <c r="B790" s="113" t="s">
        <v>215</v>
      </c>
      <c r="C790" s="84" t="s">
        <v>216</v>
      </c>
      <c r="D790" s="83" t="s">
        <v>128</v>
      </c>
      <c r="E790" s="83">
        <v>0.032</v>
      </c>
      <c r="F790" s="85">
        <f>TRUNC(98.9168,2)</f>
        <v>98.91</v>
      </c>
      <c r="G790" s="71">
        <f t="shared" si="52"/>
        <v>3.16</v>
      </c>
    </row>
    <row r="791" spans="1:7" ht="15.75">
      <c r="A791" s="82"/>
      <c r="B791" s="113"/>
      <c r="C791" s="84"/>
      <c r="D791" s="83"/>
      <c r="E791" s="83" t="s">
        <v>3</v>
      </c>
      <c r="F791" s="85"/>
      <c r="G791" s="71">
        <f>TRUNC(SUM(G783:G790),2)</f>
        <v>14.78</v>
      </c>
    </row>
    <row r="792" spans="1:7" ht="45">
      <c r="A792" s="125" t="s">
        <v>39</v>
      </c>
      <c r="B792" s="24" t="s">
        <v>406</v>
      </c>
      <c r="C792" s="17" t="s">
        <v>107</v>
      </c>
      <c r="D792" s="127" t="s">
        <v>0</v>
      </c>
      <c r="E792" s="128"/>
      <c r="F792" s="129">
        <f>TRUNC(F793,2)-0.01</f>
        <v>35.6</v>
      </c>
      <c r="G792" s="111">
        <f>TRUNC((E792*F792),2)</f>
        <v>0</v>
      </c>
    </row>
    <row r="793" spans="1:7" ht="60">
      <c r="A793" s="64"/>
      <c r="B793" s="18" t="s">
        <v>406</v>
      </c>
      <c r="C793" s="16" t="s">
        <v>407</v>
      </c>
      <c r="D793" s="47" t="s">
        <v>0</v>
      </c>
      <c r="E793" s="47">
        <v>1</v>
      </c>
      <c r="F793" s="65">
        <f>G802</f>
        <v>35.61</v>
      </c>
      <c r="G793" s="66">
        <f aca="true" t="shared" si="53" ref="G793:G801">TRUNC(E793*F793,2)</f>
        <v>35.61</v>
      </c>
    </row>
    <row r="794" spans="1:7" ht="30">
      <c r="A794" s="67"/>
      <c r="B794" s="113" t="s">
        <v>168</v>
      </c>
      <c r="C794" s="69" t="s">
        <v>169</v>
      </c>
      <c r="D794" s="68" t="s">
        <v>9</v>
      </c>
      <c r="E794" s="68">
        <v>0.006</v>
      </c>
      <c r="F794" s="70">
        <f>TRUNC(138.83,2)</f>
        <v>138.83</v>
      </c>
      <c r="G794" s="71">
        <f t="shared" si="53"/>
        <v>0.83</v>
      </c>
    </row>
    <row r="795" spans="1:7" ht="15.75">
      <c r="A795" s="67"/>
      <c r="B795" s="113" t="s">
        <v>170</v>
      </c>
      <c r="C795" s="69" t="s">
        <v>171</v>
      </c>
      <c r="D795" s="68" t="s">
        <v>125</v>
      </c>
      <c r="E795" s="68">
        <v>0.165</v>
      </c>
      <c r="F795" s="70">
        <f>TRUNC(3.53,2)</f>
        <v>3.53</v>
      </c>
      <c r="G795" s="71">
        <f t="shared" si="53"/>
        <v>0.58</v>
      </c>
    </row>
    <row r="796" spans="1:7" ht="15.75">
      <c r="A796" s="67"/>
      <c r="B796" s="113" t="s">
        <v>172</v>
      </c>
      <c r="C796" s="69" t="s">
        <v>173</v>
      </c>
      <c r="D796" s="68" t="s">
        <v>125</v>
      </c>
      <c r="E796" s="68">
        <v>0.275</v>
      </c>
      <c r="F796" s="70">
        <f>TRUNC(3.53,2)</f>
        <v>3.53</v>
      </c>
      <c r="G796" s="71">
        <f t="shared" si="53"/>
        <v>0.97</v>
      </c>
    </row>
    <row r="797" spans="1:7" ht="30">
      <c r="A797" s="67"/>
      <c r="B797" s="113" t="s">
        <v>174</v>
      </c>
      <c r="C797" s="69" t="s">
        <v>175</v>
      </c>
      <c r="D797" s="68" t="s">
        <v>9</v>
      </c>
      <c r="E797" s="68">
        <v>0.037</v>
      </c>
      <c r="F797" s="70">
        <f>TRUNC(112.02,2)</f>
        <v>112.02</v>
      </c>
      <c r="G797" s="71">
        <f t="shared" si="53"/>
        <v>4.14</v>
      </c>
    </row>
    <row r="798" spans="1:7" ht="15.75">
      <c r="A798" s="67"/>
      <c r="B798" s="113" t="s">
        <v>209</v>
      </c>
      <c r="C798" s="69" t="s">
        <v>210</v>
      </c>
      <c r="D798" s="68" t="s">
        <v>128</v>
      </c>
      <c r="E798" s="68">
        <v>0.5459</v>
      </c>
      <c r="F798" s="70">
        <f>TRUNC(14.47,2)</f>
        <v>14.47</v>
      </c>
      <c r="G798" s="71">
        <f t="shared" si="53"/>
        <v>7.89</v>
      </c>
    </row>
    <row r="799" spans="1:7" ht="15.75">
      <c r="A799" s="67"/>
      <c r="B799" s="113" t="s">
        <v>402</v>
      </c>
      <c r="C799" s="69" t="s">
        <v>403</v>
      </c>
      <c r="D799" s="68" t="s">
        <v>128</v>
      </c>
      <c r="E799" s="68">
        <v>0.21836</v>
      </c>
      <c r="F799" s="70">
        <f>TRUNC(15.22,2)</f>
        <v>15.22</v>
      </c>
      <c r="G799" s="71">
        <f t="shared" si="53"/>
        <v>3.32</v>
      </c>
    </row>
    <row r="800" spans="1:7" ht="15.75">
      <c r="A800" s="67"/>
      <c r="B800" s="113" t="s">
        <v>404</v>
      </c>
      <c r="C800" s="69" t="s">
        <v>405</v>
      </c>
      <c r="D800" s="68" t="s">
        <v>128</v>
      </c>
      <c r="E800" s="68">
        <v>0.066</v>
      </c>
      <c r="F800" s="70">
        <f>TRUNC(112.2084,2)</f>
        <v>112.2</v>
      </c>
      <c r="G800" s="71">
        <f t="shared" si="53"/>
        <v>7.4</v>
      </c>
    </row>
    <row r="801" spans="1:7" ht="15.75">
      <c r="A801" s="67"/>
      <c r="B801" s="113" t="s">
        <v>215</v>
      </c>
      <c r="C801" s="69" t="s">
        <v>216</v>
      </c>
      <c r="D801" s="68" t="s">
        <v>128</v>
      </c>
      <c r="E801" s="68">
        <v>0.106</v>
      </c>
      <c r="F801" s="70">
        <f>TRUNC(98.9168,2)</f>
        <v>98.91</v>
      </c>
      <c r="G801" s="71">
        <f t="shared" si="53"/>
        <v>10.48</v>
      </c>
    </row>
    <row r="802" spans="1:7" ht="15.75">
      <c r="A802" s="67"/>
      <c r="B802" s="113"/>
      <c r="C802" s="69"/>
      <c r="D802" s="68"/>
      <c r="E802" s="68" t="s">
        <v>3</v>
      </c>
      <c r="F802" s="70"/>
      <c r="G802" s="71">
        <f>TRUNC(SUM(G794:G801),2)</f>
        <v>35.61</v>
      </c>
    </row>
    <row r="803" spans="1:7" s="19" customFormat="1" ht="15.75">
      <c r="A803" s="90"/>
      <c r="B803" s="91"/>
      <c r="C803" s="92"/>
      <c r="D803" s="91"/>
      <c r="E803" s="91"/>
      <c r="F803" s="91" t="s">
        <v>121</v>
      </c>
      <c r="G803" s="93">
        <f>G758+G767+G774+G781+G792</f>
        <v>0</v>
      </c>
    </row>
    <row r="804" spans="1:7" ht="15.75">
      <c r="A804" s="165" t="s">
        <v>25</v>
      </c>
      <c r="B804" s="166"/>
      <c r="C804" s="167" t="s">
        <v>100</v>
      </c>
      <c r="D804" s="168"/>
      <c r="E804" s="168"/>
      <c r="F804" s="169"/>
      <c r="G804" s="170"/>
    </row>
    <row r="805" spans="1:7" s="20" customFormat="1" ht="75">
      <c r="A805" s="31" t="s">
        <v>40</v>
      </c>
      <c r="B805" s="86" t="s">
        <v>482</v>
      </c>
      <c r="C805" s="87" t="s">
        <v>483</v>
      </c>
      <c r="D805" s="86" t="s">
        <v>53</v>
      </c>
      <c r="E805" s="88"/>
      <c r="F805" s="86">
        <f>TRUNC(F806,2)</f>
        <v>74.74</v>
      </c>
      <c r="G805" s="73">
        <f>TRUNC((E805*F805),2)</f>
        <v>0</v>
      </c>
    </row>
    <row r="806" spans="1:7" s="20" customFormat="1" ht="75">
      <c r="A806" s="78"/>
      <c r="B806" s="79" t="s">
        <v>482</v>
      </c>
      <c r="C806" s="80" t="s">
        <v>483</v>
      </c>
      <c r="D806" s="79" t="s">
        <v>53</v>
      </c>
      <c r="E806" s="79">
        <v>1</v>
      </c>
      <c r="F806" s="81">
        <f>TRUNC(74.7457674,2)</f>
        <v>74.74</v>
      </c>
      <c r="G806" s="66">
        <f>TRUNC(E806*F806,2)</f>
        <v>74.74</v>
      </c>
    </row>
    <row r="807" spans="1:7" s="20" customFormat="1" ht="15.75">
      <c r="A807" s="82"/>
      <c r="B807" s="83" t="s">
        <v>209</v>
      </c>
      <c r="C807" s="84" t="s">
        <v>210</v>
      </c>
      <c r="D807" s="83" t="s">
        <v>128</v>
      </c>
      <c r="E807" s="83">
        <v>3.09</v>
      </c>
      <c r="F807" s="85">
        <f>TRUNC(14.47,2)</f>
        <v>14.47</v>
      </c>
      <c r="G807" s="71">
        <f>TRUNC(E807*F807,2)</f>
        <v>44.71</v>
      </c>
    </row>
    <row r="808" spans="1:7" s="20" customFormat="1" ht="15.75">
      <c r="A808" s="82"/>
      <c r="B808" s="83" t="s">
        <v>484</v>
      </c>
      <c r="C808" s="84" t="s">
        <v>485</v>
      </c>
      <c r="D808" s="83" t="s">
        <v>128</v>
      </c>
      <c r="E808" s="83">
        <v>0.75</v>
      </c>
      <c r="F808" s="85">
        <f>TRUNC(39.4257,2)</f>
        <v>39.42</v>
      </c>
      <c r="G808" s="71">
        <f>TRUNC(E808*F808,2)</f>
        <v>29.56</v>
      </c>
    </row>
    <row r="809" spans="1:7" s="20" customFormat="1" ht="15.75">
      <c r="A809" s="82"/>
      <c r="B809" s="83" t="s">
        <v>486</v>
      </c>
      <c r="C809" s="84" t="s">
        <v>487</v>
      </c>
      <c r="D809" s="83" t="s">
        <v>128</v>
      </c>
      <c r="E809" s="83">
        <v>0.004</v>
      </c>
      <c r="F809" s="85">
        <f>TRUNC(116.0481,2)</f>
        <v>116.04</v>
      </c>
      <c r="G809" s="71">
        <f>TRUNC(E809*F809,2)</f>
        <v>0.46</v>
      </c>
    </row>
    <row r="810" spans="1:7" s="20" customFormat="1" ht="15.75">
      <c r="A810" s="82"/>
      <c r="B810" s="83"/>
      <c r="C810" s="84"/>
      <c r="D810" s="83"/>
      <c r="E810" s="83" t="s">
        <v>3</v>
      </c>
      <c r="F810" s="85"/>
      <c r="G810" s="71">
        <f>TRUNC(SUM(G807:G809),2)</f>
        <v>74.73</v>
      </c>
    </row>
    <row r="811" spans="1:7" ht="75">
      <c r="A811" s="21" t="s">
        <v>41</v>
      </c>
      <c r="B811" s="45" t="s">
        <v>488</v>
      </c>
      <c r="C811" s="15" t="s">
        <v>489</v>
      </c>
      <c r="D811" s="45" t="s">
        <v>54</v>
      </c>
      <c r="E811" s="89"/>
      <c r="F811" s="45">
        <f>TRUNC(F812,2)</f>
        <v>1.03</v>
      </c>
      <c r="G811" s="63">
        <f>TRUNC((E811*F811),2)</f>
        <v>0</v>
      </c>
    </row>
    <row r="812" spans="1:7" ht="75">
      <c r="A812" s="64"/>
      <c r="B812" s="47" t="s">
        <v>488</v>
      </c>
      <c r="C812" s="16" t="s">
        <v>489</v>
      </c>
      <c r="D812" s="47" t="s">
        <v>54</v>
      </c>
      <c r="E812" s="47">
        <v>1</v>
      </c>
      <c r="F812" s="65">
        <f>TRUNC(1.03282809,2)</f>
        <v>1.03</v>
      </c>
      <c r="G812" s="66">
        <f>TRUNC(E812*F812,2)</f>
        <v>1.03</v>
      </c>
    </row>
    <row r="813" spans="1:7" ht="15.75">
      <c r="A813" s="67"/>
      <c r="B813" s="68" t="s">
        <v>486</v>
      </c>
      <c r="C813" s="69" t="s">
        <v>487</v>
      </c>
      <c r="D813" s="68" t="s">
        <v>128</v>
      </c>
      <c r="E813" s="68">
        <v>0.0089</v>
      </c>
      <c r="F813" s="70">
        <f>TRUNC(116.0481,2)</f>
        <v>116.04</v>
      </c>
      <c r="G813" s="71">
        <f>TRUNC(E813*F813,2)</f>
        <v>1.03</v>
      </c>
    </row>
    <row r="814" spans="1:7" ht="15.75">
      <c r="A814" s="67"/>
      <c r="B814" s="68"/>
      <c r="C814" s="69"/>
      <c r="D814" s="68"/>
      <c r="E814" s="68" t="s">
        <v>3</v>
      </c>
      <c r="F814" s="70"/>
      <c r="G814" s="71">
        <f>TRUNC(SUM(G813:G813),2)</f>
        <v>1.03</v>
      </c>
    </row>
    <row r="815" spans="1:7" s="20" customFormat="1" ht="15.75">
      <c r="A815" s="31" t="s">
        <v>42</v>
      </c>
      <c r="B815" s="86" t="s">
        <v>898</v>
      </c>
      <c r="C815" s="87" t="s">
        <v>899</v>
      </c>
      <c r="D815" s="86" t="s">
        <v>1</v>
      </c>
      <c r="E815" s="171"/>
      <c r="F815" s="86">
        <f>TRUNC(F816,2)</f>
        <v>9.43</v>
      </c>
      <c r="G815" s="73">
        <f>TRUNC((E815*F815),2)</f>
        <v>0</v>
      </c>
    </row>
    <row r="816" spans="1:7" s="20" customFormat="1" ht="15.75">
      <c r="A816" s="78"/>
      <c r="B816" s="79" t="s">
        <v>898</v>
      </c>
      <c r="C816" s="80" t="s">
        <v>899</v>
      </c>
      <c r="D816" s="79" t="s">
        <v>1</v>
      </c>
      <c r="E816" s="79">
        <v>1</v>
      </c>
      <c r="F816" s="81">
        <f>G820</f>
        <v>9.43</v>
      </c>
      <c r="G816" s="66">
        <f>TRUNC(E816*F816,2)</f>
        <v>9.43</v>
      </c>
    </row>
    <row r="817" spans="1:7" s="20" customFormat="1" ht="15.75">
      <c r="A817" s="82"/>
      <c r="B817" s="83" t="s">
        <v>243</v>
      </c>
      <c r="C817" s="84" t="s">
        <v>178</v>
      </c>
      <c r="D817" s="83" t="s">
        <v>128</v>
      </c>
      <c r="E817" s="83">
        <v>0.0663</v>
      </c>
      <c r="F817" s="85">
        <f>TRUNC(20.74,2)</f>
        <v>20.74</v>
      </c>
      <c r="G817" s="71">
        <f>TRUNC(E817*F817,2)</f>
        <v>1.37</v>
      </c>
    </row>
    <row r="818" spans="1:7" s="20" customFormat="1" ht="30">
      <c r="A818" s="82"/>
      <c r="B818" s="83" t="s">
        <v>900</v>
      </c>
      <c r="C818" s="84" t="s">
        <v>901</v>
      </c>
      <c r="D818" s="83" t="s">
        <v>132</v>
      </c>
      <c r="E818" s="83">
        <v>0.0919</v>
      </c>
      <c r="F818" s="85">
        <f>TRUNC(37.28,2)</f>
        <v>37.28</v>
      </c>
      <c r="G818" s="71">
        <f>TRUNC(E818*F818,2)</f>
        <v>3.42</v>
      </c>
    </row>
    <row r="819" spans="1:7" s="20" customFormat="1" ht="30">
      <c r="A819" s="82"/>
      <c r="B819" s="83" t="s">
        <v>902</v>
      </c>
      <c r="C819" s="84" t="s">
        <v>903</v>
      </c>
      <c r="D819" s="83" t="s">
        <v>133</v>
      </c>
      <c r="E819" s="83">
        <v>0.0663</v>
      </c>
      <c r="F819" s="85">
        <f>TRUNC(70.05,2)</f>
        <v>70.05</v>
      </c>
      <c r="G819" s="71">
        <f>TRUNC(E819*F819,2)</f>
        <v>4.64</v>
      </c>
    </row>
    <row r="820" spans="1:7" s="20" customFormat="1" ht="15.75">
      <c r="A820" s="82"/>
      <c r="B820" s="83"/>
      <c r="C820" s="84"/>
      <c r="D820" s="83"/>
      <c r="E820" s="83" t="s">
        <v>3</v>
      </c>
      <c r="F820" s="85"/>
      <c r="G820" s="71">
        <f>TRUNC(SUM(G817:G819),2)</f>
        <v>9.43</v>
      </c>
    </row>
    <row r="821" spans="1:7" s="20" customFormat="1" ht="45">
      <c r="A821" s="31" t="s">
        <v>103</v>
      </c>
      <c r="B821" s="86" t="s">
        <v>275</v>
      </c>
      <c r="C821" s="87" t="s">
        <v>624</v>
      </c>
      <c r="D821" s="86" t="s">
        <v>53</v>
      </c>
      <c r="E821" s="172"/>
      <c r="F821" s="99">
        <f>TRUNC(F822,2)</f>
        <v>7.08</v>
      </c>
      <c r="G821" s="73">
        <f>TRUNC((E821*F821),2)</f>
        <v>0</v>
      </c>
    </row>
    <row r="822" spans="1:7" s="20" customFormat="1" ht="45">
      <c r="A822" s="82"/>
      <c r="B822" s="83" t="s">
        <v>275</v>
      </c>
      <c r="C822" s="84" t="s">
        <v>177</v>
      </c>
      <c r="D822" s="83" t="s">
        <v>53</v>
      </c>
      <c r="E822" s="83">
        <v>1</v>
      </c>
      <c r="F822" s="85">
        <f>G825</f>
        <v>7.08</v>
      </c>
      <c r="G822" s="71">
        <f>TRUNC(E822*F822,2)</f>
        <v>7.08</v>
      </c>
    </row>
    <row r="823" spans="1:7" s="20" customFormat="1" ht="15.75">
      <c r="A823" s="82"/>
      <c r="B823" s="83" t="s">
        <v>276</v>
      </c>
      <c r="C823" s="84" t="s">
        <v>277</v>
      </c>
      <c r="D823" s="83" t="s">
        <v>128</v>
      </c>
      <c r="E823" s="83">
        <v>0.07</v>
      </c>
      <c r="F823" s="85">
        <f>TRUNC(57.3832,2)</f>
        <v>57.38</v>
      </c>
      <c r="G823" s="71">
        <f>TRUNC(E823*F823,2)</f>
        <v>4.01</v>
      </c>
    </row>
    <row r="824" spans="1:7" s="20" customFormat="1" ht="15.75">
      <c r="A824" s="82"/>
      <c r="B824" s="83" t="s">
        <v>278</v>
      </c>
      <c r="C824" s="84" t="s">
        <v>279</v>
      </c>
      <c r="D824" s="83" t="s">
        <v>128</v>
      </c>
      <c r="E824" s="83">
        <v>0.02</v>
      </c>
      <c r="F824" s="85">
        <f>TRUNC(153.758,2)</f>
        <v>153.75</v>
      </c>
      <c r="G824" s="71">
        <f>TRUNC(E824*F824,2)</f>
        <v>3.07</v>
      </c>
    </row>
    <row r="825" spans="1:7" s="20" customFormat="1" ht="15.75">
      <c r="A825" s="82"/>
      <c r="B825" s="83"/>
      <c r="C825" s="84"/>
      <c r="D825" s="83"/>
      <c r="E825" s="83" t="s">
        <v>3</v>
      </c>
      <c r="F825" s="85"/>
      <c r="G825" s="71">
        <f>TRUNC(SUM(G823:G824),2)</f>
        <v>7.08</v>
      </c>
    </row>
    <row r="826" spans="1:7" s="20" customFormat="1" ht="30">
      <c r="A826" s="31" t="s">
        <v>105</v>
      </c>
      <c r="B826" s="86" t="s">
        <v>408</v>
      </c>
      <c r="C826" s="87" t="s">
        <v>176</v>
      </c>
      <c r="D826" s="86" t="s">
        <v>55</v>
      </c>
      <c r="E826" s="172"/>
      <c r="F826" s="99">
        <f>TRUNC(F827,2)</f>
        <v>1.08</v>
      </c>
      <c r="G826" s="73">
        <f>TRUNC((E826*F826),2)</f>
        <v>0</v>
      </c>
    </row>
    <row r="827" spans="1:7" s="20" customFormat="1" ht="30">
      <c r="A827" s="82"/>
      <c r="B827" s="83" t="s">
        <v>408</v>
      </c>
      <c r="C827" s="84" t="s">
        <v>176</v>
      </c>
      <c r="D827" s="83" t="s">
        <v>55</v>
      </c>
      <c r="E827" s="83">
        <v>1</v>
      </c>
      <c r="F827" s="85">
        <f>G830</f>
        <v>1.08</v>
      </c>
      <c r="G827" s="71">
        <f>TRUNC(E827*F827,2)</f>
        <v>1.08</v>
      </c>
    </row>
    <row r="828" spans="1:7" s="20" customFormat="1" ht="45">
      <c r="A828" s="82"/>
      <c r="B828" s="83" t="s">
        <v>409</v>
      </c>
      <c r="C828" s="84" t="s">
        <v>410</v>
      </c>
      <c r="D828" s="83" t="s">
        <v>132</v>
      </c>
      <c r="E828" s="83">
        <v>0.00156</v>
      </c>
      <c r="F828" s="85">
        <f>TRUNC(37.98,2)</f>
        <v>37.98</v>
      </c>
      <c r="G828" s="71">
        <f>TRUNC(E828*F828,2)</f>
        <v>0.05</v>
      </c>
    </row>
    <row r="829" spans="1:7" s="20" customFormat="1" ht="45">
      <c r="A829" s="82"/>
      <c r="B829" s="83" t="s">
        <v>411</v>
      </c>
      <c r="C829" s="84" t="s">
        <v>412</v>
      </c>
      <c r="D829" s="83" t="s">
        <v>133</v>
      </c>
      <c r="E829" s="83">
        <v>0.00625</v>
      </c>
      <c r="F829" s="85">
        <f>TRUNC(166.36,2)</f>
        <v>166.36</v>
      </c>
      <c r="G829" s="71">
        <f>TRUNC(E829*F829,2)</f>
        <v>1.03</v>
      </c>
    </row>
    <row r="830" spans="1:7" s="20" customFormat="1" ht="15.75">
      <c r="A830" s="82"/>
      <c r="B830" s="83"/>
      <c r="C830" s="84"/>
      <c r="D830" s="83"/>
      <c r="E830" s="83" t="s">
        <v>3</v>
      </c>
      <c r="F830" s="85"/>
      <c r="G830" s="71">
        <f>TRUNC(SUM(G828:G829),2)</f>
        <v>1.08</v>
      </c>
    </row>
    <row r="831" spans="1:8" s="38" customFormat="1" ht="30">
      <c r="A831" s="31" t="s">
        <v>106</v>
      </c>
      <c r="B831" s="86" t="s">
        <v>481</v>
      </c>
      <c r="C831" s="87" t="s">
        <v>625</v>
      </c>
      <c r="D831" s="86" t="s">
        <v>1</v>
      </c>
      <c r="E831" s="99"/>
      <c r="F831" s="100">
        <f>TRUNC(F832,2)</f>
        <v>54</v>
      </c>
      <c r="G831" s="73">
        <f>TRUNC((E831*F831),2)</f>
        <v>0</v>
      </c>
      <c r="H831" s="39"/>
    </row>
    <row r="832" spans="1:7" s="20" customFormat="1" ht="30">
      <c r="A832" s="78"/>
      <c r="B832" s="79" t="s">
        <v>413</v>
      </c>
      <c r="C832" s="80" t="s">
        <v>101</v>
      </c>
      <c r="D832" s="79" t="s">
        <v>1</v>
      </c>
      <c r="E832" s="81">
        <v>1</v>
      </c>
      <c r="F832" s="81">
        <f>G834</f>
        <v>54</v>
      </c>
      <c r="G832" s="66">
        <f>E832*F832</f>
        <v>54</v>
      </c>
    </row>
    <row r="833" spans="1:7" s="20" customFormat="1" ht="15.75">
      <c r="A833" s="82"/>
      <c r="B833" s="83" t="s">
        <v>179</v>
      </c>
      <c r="C833" s="84" t="s">
        <v>180</v>
      </c>
      <c r="D833" s="83" t="s">
        <v>1</v>
      </c>
      <c r="E833" s="85">
        <v>1</v>
      </c>
      <c r="F833" s="83">
        <v>54</v>
      </c>
      <c r="G833" s="71">
        <f>E833*F833</f>
        <v>54</v>
      </c>
    </row>
    <row r="834" spans="1:7" s="20" customFormat="1" ht="15.75">
      <c r="A834" s="101"/>
      <c r="B834" s="102"/>
      <c r="C834" s="103"/>
      <c r="D834" s="102"/>
      <c r="E834" s="102" t="s">
        <v>3</v>
      </c>
      <c r="F834" s="102"/>
      <c r="G834" s="104">
        <f>SUM(G833:G833)</f>
        <v>54</v>
      </c>
    </row>
    <row r="835" spans="1:8" s="282" customFormat="1" ht="60">
      <c r="A835" s="31" t="s">
        <v>104</v>
      </c>
      <c r="B835" s="86" t="s">
        <v>620</v>
      </c>
      <c r="C835" s="87" t="s">
        <v>665</v>
      </c>
      <c r="D835" s="86" t="s">
        <v>9</v>
      </c>
      <c r="E835" s="86"/>
      <c r="F835" s="100">
        <f>TRUNC(F836,2)-0.01</f>
        <v>218.93</v>
      </c>
      <c r="G835" s="73">
        <f>TRUNC((E835*F835),2)</f>
        <v>0</v>
      </c>
      <c r="H835" s="20"/>
    </row>
    <row r="836" spans="1:7" s="197" customFormat="1" ht="60">
      <c r="A836" s="113"/>
      <c r="B836" s="83" t="s">
        <v>620</v>
      </c>
      <c r="C836" s="84" t="s">
        <v>621</v>
      </c>
      <c r="D836" s="83" t="s">
        <v>9</v>
      </c>
      <c r="E836" s="83">
        <v>1</v>
      </c>
      <c r="F836" s="83">
        <f>G839</f>
        <v>218.94</v>
      </c>
      <c r="G836" s="83">
        <f>TRUNC(E836*F836,2)</f>
        <v>218.94</v>
      </c>
    </row>
    <row r="837" spans="1:7" s="197" customFormat="1" ht="15.75">
      <c r="A837" s="113"/>
      <c r="B837" s="83" t="s">
        <v>209</v>
      </c>
      <c r="C837" s="84" t="s">
        <v>210</v>
      </c>
      <c r="D837" s="83" t="s">
        <v>128</v>
      </c>
      <c r="E837" s="83">
        <v>0.618</v>
      </c>
      <c r="F837" s="83">
        <f>TRUNC(14.47,2)</f>
        <v>14.47</v>
      </c>
      <c r="G837" s="83">
        <f>TRUNC(E837*F837,2)</f>
        <v>8.94</v>
      </c>
    </row>
    <row r="838" spans="1:7" s="197" customFormat="1" ht="30">
      <c r="A838" s="113"/>
      <c r="B838" s="83" t="s">
        <v>622</v>
      </c>
      <c r="C838" s="84" t="s">
        <v>623</v>
      </c>
      <c r="D838" s="83" t="s">
        <v>9</v>
      </c>
      <c r="E838" s="83">
        <v>1</v>
      </c>
      <c r="F838" s="83">
        <f>TRUNC(210,2)</f>
        <v>210</v>
      </c>
      <c r="G838" s="83">
        <f>TRUNC(E838*F838,2)</f>
        <v>210</v>
      </c>
    </row>
    <row r="839" spans="1:7" s="197" customFormat="1" ht="15.75">
      <c r="A839" s="113"/>
      <c r="B839" s="83"/>
      <c r="C839" s="84"/>
      <c r="D839" s="83"/>
      <c r="E839" s="83" t="s">
        <v>3</v>
      </c>
      <c r="F839" s="83"/>
      <c r="G839" s="83">
        <f>TRUNC(SUM(G837:G838),2)</f>
        <v>218.94</v>
      </c>
    </row>
    <row r="840" spans="1:7" s="19" customFormat="1" ht="15.75">
      <c r="A840" s="90"/>
      <c r="B840" s="91"/>
      <c r="C840" s="92"/>
      <c r="D840" s="91"/>
      <c r="E840" s="91"/>
      <c r="F840" s="91" t="s">
        <v>122</v>
      </c>
      <c r="G840" s="93"/>
    </row>
    <row r="841" spans="1:7" ht="15.75">
      <c r="A841" s="165" t="s">
        <v>678</v>
      </c>
      <c r="B841" s="166"/>
      <c r="C841" s="167" t="s">
        <v>679</v>
      </c>
      <c r="D841" s="168"/>
      <c r="E841" s="168"/>
      <c r="F841" s="169"/>
      <c r="G841" s="170"/>
    </row>
    <row r="842" spans="1:7" s="20" customFormat="1" ht="45">
      <c r="A842" s="75" t="s">
        <v>680</v>
      </c>
      <c r="B842" s="76" t="s">
        <v>688</v>
      </c>
      <c r="C842" s="77" t="s">
        <v>689</v>
      </c>
      <c r="D842" s="76" t="s">
        <v>0</v>
      </c>
      <c r="E842" s="89"/>
      <c r="F842" s="76">
        <f>TRUNC(F843,2)</f>
        <v>0.35</v>
      </c>
      <c r="G842" s="63">
        <f>TRUNC((E842*F842),2)</f>
        <v>0</v>
      </c>
    </row>
    <row r="843" spans="1:7" s="20" customFormat="1" ht="45">
      <c r="A843" s="78"/>
      <c r="B843" s="79" t="s">
        <v>688</v>
      </c>
      <c r="C843" s="80" t="s">
        <v>689</v>
      </c>
      <c r="D843" s="79" t="s">
        <v>0</v>
      </c>
      <c r="E843" s="79">
        <v>1</v>
      </c>
      <c r="F843" s="81">
        <f>TRUNC(0.35581851,2)</f>
        <v>0.35</v>
      </c>
      <c r="G843" s="66">
        <f>TRUNC(E843*F843,2)</f>
        <v>0.35</v>
      </c>
    </row>
    <row r="844" spans="1:7" s="20" customFormat="1" ht="30">
      <c r="A844" s="82"/>
      <c r="B844" s="83" t="s">
        <v>683</v>
      </c>
      <c r="C844" s="84" t="s">
        <v>684</v>
      </c>
      <c r="D844" s="83" t="s">
        <v>128</v>
      </c>
      <c r="E844" s="83">
        <v>0.0011990000000000002</v>
      </c>
      <c r="F844" s="85">
        <f>TRUNC(35.49,2)</f>
        <v>35.49</v>
      </c>
      <c r="G844" s="71">
        <f>TRUNC(E844*F844,2)</f>
        <v>0.04</v>
      </c>
    </row>
    <row r="845" spans="1:7" s="20" customFormat="1" ht="30">
      <c r="A845" s="82"/>
      <c r="B845" s="83" t="s">
        <v>685</v>
      </c>
      <c r="C845" s="84" t="s">
        <v>686</v>
      </c>
      <c r="D845" s="83" t="s">
        <v>128</v>
      </c>
      <c r="E845" s="83">
        <v>0.0016350000000000002</v>
      </c>
      <c r="F845" s="85">
        <f>TRUNC(191.6,2)</f>
        <v>191.6</v>
      </c>
      <c r="G845" s="71">
        <f>TRUNC(E845*F845,2)</f>
        <v>0.31</v>
      </c>
    </row>
    <row r="846" spans="1:7" s="20" customFormat="1" ht="15.75">
      <c r="A846" s="101"/>
      <c r="B846" s="102"/>
      <c r="C846" s="103"/>
      <c r="D846" s="102"/>
      <c r="E846" s="102" t="s">
        <v>3</v>
      </c>
      <c r="F846" s="284"/>
      <c r="G846" s="104">
        <f>TRUNC(SUM(G844:G845),2)</f>
        <v>0.35</v>
      </c>
    </row>
    <row r="847" spans="1:8" ht="15.75">
      <c r="A847" s="125" t="s">
        <v>681</v>
      </c>
      <c r="B847" s="127" t="s">
        <v>696</v>
      </c>
      <c r="C847" s="17" t="s">
        <v>694</v>
      </c>
      <c r="D847" s="127" t="s">
        <v>695</v>
      </c>
      <c r="E847" s="283"/>
      <c r="F847" s="287">
        <f>TRUNC(G848,3)</f>
        <v>0.025</v>
      </c>
      <c r="G847" s="111">
        <f>TRUNC((E847*F847),2)</f>
        <v>0</v>
      </c>
      <c r="H847" s="285"/>
    </row>
    <row r="848" spans="1:7" ht="30">
      <c r="A848" s="64"/>
      <c r="B848" s="47" t="s">
        <v>690</v>
      </c>
      <c r="C848" s="16" t="s">
        <v>691</v>
      </c>
      <c r="D848" s="47" t="s">
        <v>687</v>
      </c>
      <c r="E848" s="47">
        <f>0.0001</f>
        <v>0.0001</v>
      </c>
      <c r="F848" s="65">
        <f>G851</f>
        <v>254.93</v>
      </c>
      <c r="G848" s="286">
        <f>E848*F848</f>
        <v>0.025493000000000002</v>
      </c>
    </row>
    <row r="849" spans="1:7" ht="30">
      <c r="A849" s="67"/>
      <c r="B849" s="68" t="s">
        <v>692</v>
      </c>
      <c r="C849" s="69" t="s">
        <v>693</v>
      </c>
      <c r="D849" s="68" t="s">
        <v>128</v>
      </c>
      <c r="E849" s="68">
        <v>20.6</v>
      </c>
      <c r="F849" s="70">
        <f>TRUNC(11.98,2)</f>
        <v>11.98</v>
      </c>
      <c r="G849" s="71">
        <f>TRUNC(E849*F849,2)</f>
        <v>246.78</v>
      </c>
    </row>
    <row r="850" spans="1:7" ht="15.75">
      <c r="A850" s="67"/>
      <c r="B850" s="68" t="s">
        <v>294</v>
      </c>
      <c r="C850" s="69" t="s">
        <v>295</v>
      </c>
      <c r="D850" s="68" t="s">
        <v>128</v>
      </c>
      <c r="E850" s="68">
        <v>0.17</v>
      </c>
      <c r="F850" s="70">
        <f>TRUNC(47.974,2)</f>
        <v>47.97</v>
      </c>
      <c r="G850" s="71">
        <f>TRUNC(E850*F850,2)</f>
        <v>8.15</v>
      </c>
    </row>
    <row r="851" spans="1:7" ht="15.75">
      <c r="A851" s="67"/>
      <c r="B851" s="68"/>
      <c r="C851" s="69"/>
      <c r="D851" s="68"/>
      <c r="E851" s="68" t="s">
        <v>3</v>
      </c>
      <c r="F851" s="70"/>
      <c r="G851" s="71">
        <f>TRUNC(SUM(G849:G850),2)</f>
        <v>254.93</v>
      </c>
    </row>
    <row r="852" spans="1:7" s="19" customFormat="1" ht="15.75">
      <c r="A852" s="90"/>
      <c r="B852" s="91"/>
      <c r="C852" s="92"/>
      <c r="D852" s="91"/>
      <c r="E852" s="91"/>
      <c r="F852" s="91" t="s">
        <v>682</v>
      </c>
      <c r="G852" s="93"/>
    </row>
    <row r="853" spans="1:7" s="19" customFormat="1" ht="15.75">
      <c r="A853" s="90"/>
      <c r="B853" s="91"/>
      <c r="C853" s="92"/>
      <c r="D853" s="91"/>
      <c r="E853" s="91"/>
      <c r="F853" s="91" t="s">
        <v>123</v>
      </c>
      <c r="G853" s="93"/>
    </row>
  </sheetData>
  <sheetProtection/>
  <mergeCells count="13">
    <mergeCell ref="D3:G3"/>
    <mergeCell ref="D4:G4"/>
    <mergeCell ref="D5:G5"/>
    <mergeCell ref="D6:G6"/>
    <mergeCell ref="D7:G7"/>
    <mergeCell ref="D8:G8"/>
    <mergeCell ref="A9:G9"/>
    <mergeCell ref="A10:A11"/>
    <mergeCell ref="B10:B11"/>
    <mergeCell ref="C10:C11"/>
    <mergeCell ref="D10:D11"/>
    <mergeCell ref="E10:E11"/>
    <mergeCell ref="F10:G10"/>
  </mergeCells>
  <printOptions/>
  <pageMargins left="0.5118110236220472" right="0.5118110236220472" top="0.7874015748031497" bottom="0.7874015748031497" header="0.31496062992125984" footer="0.31496062992125984"/>
  <pageSetup horizontalDpi="300" verticalDpi="300" orientation="portrait" paperSize="9" scale="46" r:id="rId2"/>
  <headerFooter>
    <oddFooter>&amp;C&amp;A&amp;RPágina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99"/>
  <sheetViews>
    <sheetView view="pageBreakPreview" zoomScale="40" zoomScaleSheetLayoutView="40" zoomScalePageLayoutView="0" workbookViewId="0" topLeftCell="A1">
      <selection activeCell="F4" sqref="F4:I4"/>
    </sheetView>
  </sheetViews>
  <sheetFormatPr defaultColWidth="9.140625" defaultRowHeight="15"/>
  <cols>
    <col min="1" max="1" width="17.57421875" style="2" customWidth="1"/>
    <col min="2" max="2" width="46.421875" style="2" customWidth="1"/>
    <col min="3" max="3" width="142.7109375" style="1" customWidth="1"/>
    <col min="4" max="4" width="22.421875" style="249" bestFit="1" customWidth="1"/>
    <col min="5" max="5" width="33.421875" style="248" bestFit="1" customWidth="1"/>
    <col min="6" max="8" width="37.57421875" style="248" customWidth="1"/>
    <col min="9" max="9" width="41.28125" style="249" bestFit="1" customWidth="1"/>
    <col min="10" max="10" width="58.7109375" style="0" bestFit="1" customWidth="1"/>
    <col min="11" max="11" width="17.00390625" style="0" bestFit="1" customWidth="1"/>
    <col min="12" max="12" width="12.57421875" style="0" bestFit="1" customWidth="1"/>
    <col min="13" max="15" width="13.8515625" style="0" bestFit="1" customWidth="1"/>
  </cols>
  <sheetData>
    <row r="1" spans="1:9" s="375" customFormat="1" ht="30">
      <c r="A1" s="369"/>
      <c r="B1" s="370"/>
      <c r="C1" s="371" t="s">
        <v>26</v>
      </c>
      <c r="D1" s="492"/>
      <c r="E1" s="372"/>
      <c r="F1" s="493"/>
      <c r="G1" s="373"/>
      <c r="H1" s="373"/>
      <c r="I1" s="374"/>
    </row>
    <row r="2" spans="1:9" s="375" customFormat="1" ht="30">
      <c r="A2" s="376"/>
      <c r="B2" s="377"/>
      <c r="C2" s="378" t="s">
        <v>27</v>
      </c>
      <c r="D2" s="484"/>
      <c r="E2" s="379"/>
      <c r="F2" s="494"/>
      <c r="G2" s="380"/>
      <c r="H2" s="380"/>
      <c r="I2" s="381"/>
    </row>
    <row r="3" spans="1:9" s="375" customFormat="1" ht="30">
      <c r="A3" s="376"/>
      <c r="B3" s="377"/>
      <c r="C3" s="378" t="s">
        <v>28</v>
      </c>
      <c r="D3" s="484"/>
      <c r="E3" s="484"/>
      <c r="F3" s="539" t="s">
        <v>698</v>
      </c>
      <c r="G3" s="540"/>
      <c r="H3" s="540"/>
      <c r="I3" s="541"/>
    </row>
    <row r="4" spans="1:9" s="375" customFormat="1" ht="60" customHeight="1">
      <c r="A4" s="376"/>
      <c r="B4" s="377"/>
      <c r="C4" s="382" t="s">
        <v>45</v>
      </c>
      <c r="D4" s="484"/>
      <c r="E4" s="484"/>
      <c r="F4" s="542" t="s">
        <v>907</v>
      </c>
      <c r="G4" s="543"/>
      <c r="H4" s="543"/>
      <c r="I4" s="544"/>
    </row>
    <row r="5" spans="1:9" s="375" customFormat="1" ht="34.5" customHeight="1">
      <c r="A5" s="376"/>
      <c r="B5" s="377"/>
      <c r="C5" s="383" t="s">
        <v>44</v>
      </c>
      <c r="D5" s="484"/>
      <c r="E5" s="484"/>
      <c r="F5" s="545" t="s">
        <v>46</v>
      </c>
      <c r="G5" s="546"/>
      <c r="H5" s="546"/>
      <c r="I5" s="547"/>
    </row>
    <row r="6" spans="1:9" s="375" customFormat="1" ht="30">
      <c r="A6" s="376"/>
      <c r="B6" s="377"/>
      <c r="C6" s="384" t="s">
        <v>726</v>
      </c>
      <c r="D6" s="484"/>
      <c r="E6" s="484"/>
      <c r="F6" s="548" t="s">
        <v>743</v>
      </c>
      <c r="G6" s="549"/>
      <c r="H6" s="549"/>
      <c r="I6" s="550"/>
    </row>
    <row r="7" spans="1:9" s="375" customFormat="1" ht="30">
      <c r="A7" s="376"/>
      <c r="B7" s="377"/>
      <c r="C7" s="385" t="s">
        <v>206</v>
      </c>
      <c r="D7" s="484"/>
      <c r="E7" s="484"/>
      <c r="F7" s="548" t="s">
        <v>32</v>
      </c>
      <c r="G7" s="549"/>
      <c r="H7" s="549"/>
      <c r="I7" s="550"/>
    </row>
    <row r="8" spans="1:9" s="375" customFormat="1" ht="30">
      <c r="A8" s="386"/>
      <c r="B8" s="387"/>
      <c r="C8" s="388"/>
      <c r="D8" s="491"/>
      <c r="E8" s="491"/>
      <c r="F8" s="551" t="s">
        <v>752</v>
      </c>
      <c r="G8" s="552"/>
      <c r="H8" s="552"/>
      <c r="I8" s="553"/>
    </row>
    <row r="9" spans="1:11" s="389" customFormat="1" ht="47.25" customHeight="1">
      <c r="A9" s="536" t="s">
        <v>747</v>
      </c>
      <c r="B9" s="537"/>
      <c r="C9" s="537"/>
      <c r="D9" s="537"/>
      <c r="E9" s="537"/>
      <c r="F9" s="537"/>
      <c r="G9" s="537"/>
      <c r="H9" s="537"/>
      <c r="I9" s="538"/>
      <c r="K9" s="390"/>
    </row>
    <row r="10" spans="1:11" s="392" customFormat="1" ht="30">
      <c r="A10" s="529" t="s">
        <v>29</v>
      </c>
      <c r="B10" s="530" t="s">
        <v>30</v>
      </c>
      <c r="C10" s="530" t="s">
        <v>31</v>
      </c>
      <c r="D10" s="529" t="s">
        <v>748</v>
      </c>
      <c r="E10" s="534" t="s">
        <v>113</v>
      </c>
      <c r="F10" s="531" t="s">
        <v>114</v>
      </c>
      <c r="G10" s="532"/>
      <c r="H10" s="532"/>
      <c r="I10" s="533"/>
      <c r="K10" s="393"/>
    </row>
    <row r="11" spans="1:11" s="392" customFormat="1" ht="30">
      <c r="A11" s="529"/>
      <c r="B11" s="530"/>
      <c r="C11" s="530"/>
      <c r="D11" s="529"/>
      <c r="E11" s="535"/>
      <c r="F11" s="391" t="s">
        <v>414</v>
      </c>
      <c r="G11" s="391" t="s">
        <v>777</v>
      </c>
      <c r="H11" s="391" t="s">
        <v>3</v>
      </c>
      <c r="I11" s="394" t="s">
        <v>778</v>
      </c>
      <c r="K11" s="393"/>
    </row>
    <row r="12" spans="1:11" s="392" customFormat="1" ht="30">
      <c r="A12" s="395" t="s">
        <v>18</v>
      </c>
      <c r="B12" s="395"/>
      <c r="C12" s="396" t="s">
        <v>19</v>
      </c>
      <c r="D12" s="395"/>
      <c r="E12" s="397"/>
      <c r="F12" s="397"/>
      <c r="G12" s="397"/>
      <c r="H12" s="397"/>
      <c r="I12" s="398"/>
      <c r="K12" s="393"/>
    </row>
    <row r="13" spans="1:11" s="406" customFormat="1" ht="60">
      <c r="A13" s="399" t="s">
        <v>4</v>
      </c>
      <c r="B13" s="399" t="s">
        <v>781</v>
      </c>
      <c r="C13" s="400" t="s">
        <v>80</v>
      </c>
      <c r="D13" s="399" t="s">
        <v>0</v>
      </c>
      <c r="E13" s="401">
        <v>24</v>
      </c>
      <c r="F13" s="402">
        <v>322</v>
      </c>
      <c r="G13" s="402">
        <f>ROUND((F13*1.2032),2)</f>
        <v>387.43</v>
      </c>
      <c r="H13" s="402">
        <f>ROUND((E13*F13),2)</f>
        <v>7728</v>
      </c>
      <c r="I13" s="403">
        <f>ROUND((E13*G13),2)</f>
        <v>9298.32</v>
      </c>
      <c r="J13" s="404"/>
      <c r="K13" s="405"/>
    </row>
    <row r="14" spans="1:11" s="406" customFormat="1" ht="180">
      <c r="A14" s="399" t="s">
        <v>5</v>
      </c>
      <c r="B14" s="399" t="s">
        <v>794</v>
      </c>
      <c r="C14" s="400" t="s">
        <v>81</v>
      </c>
      <c r="D14" s="399" t="s">
        <v>48</v>
      </c>
      <c r="E14" s="401">
        <v>12</v>
      </c>
      <c r="F14" s="407">
        <f>'MEMÓRIA '!F23</f>
        <v>400</v>
      </c>
      <c r="G14" s="402">
        <f aca="true" t="shared" si="0" ref="G14:G26">ROUND((F14*1.2032),2)</f>
        <v>481.28</v>
      </c>
      <c r="H14" s="402">
        <f aca="true" t="shared" si="1" ref="H14:H26">ROUND((E14*F14),2)</f>
        <v>4800</v>
      </c>
      <c r="I14" s="403">
        <f aca="true" t="shared" si="2" ref="I14:I26">ROUND((E14*G14),2)</f>
        <v>5775.36</v>
      </c>
      <c r="K14" s="408"/>
    </row>
    <row r="15" spans="1:11" s="406" customFormat="1" ht="60">
      <c r="A15" s="399" t="s">
        <v>6</v>
      </c>
      <c r="B15" s="399" t="s">
        <v>217</v>
      </c>
      <c r="C15" s="400" t="s">
        <v>82</v>
      </c>
      <c r="D15" s="399" t="s">
        <v>49</v>
      </c>
      <c r="E15" s="401">
        <v>50</v>
      </c>
      <c r="F15" s="407">
        <f>'MEMÓRIA '!F27</f>
        <v>22.92</v>
      </c>
      <c r="G15" s="402">
        <f t="shared" si="0"/>
        <v>27.58</v>
      </c>
      <c r="H15" s="402">
        <f t="shared" si="1"/>
        <v>1146</v>
      </c>
      <c r="I15" s="403">
        <f t="shared" si="2"/>
        <v>1379</v>
      </c>
      <c r="J15" s="404"/>
      <c r="K15" s="408"/>
    </row>
    <row r="16" spans="1:11" s="406" customFormat="1" ht="60">
      <c r="A16" s="399" t="s">
        <v>7</v>
      </c>
      <c r="B16" s="399" t="s">
        <v>223</v>
      </c>
      <c r="C16" s="400" t="s">
        <v>83</v>
      </c>
      <c r="D16" s="399" t="s">
        <v>9</v>
      </c>
      <c r="E16" s="401">
        <v>2</v>
      </c>
      <c r="F16" s="407">
        <f>'MEMÓRIA '!F32</f>
        <v>62.68</v>
      </c>
      <c r="G16" s="402">
        <f t="shared" si="0"/>
        <v>75.42</v>
      </c>
      <c r="H16" s="402">
        <f t="shared" si="1"/>
        <v>125.36</v>
      </c>
      <c r="I16" s="403">
        <f t="shared" si="2"/>
        <v>150.84</v>
      </c>
      <c r="K16" s="408"/>
    </row>
    <row r="17" spans="1:11" s="406" customFormat="1" ht="60">
      <c r="A17" s="399" t="s">
        <v>8</v>
      </c>
      <c r="B17" s="399" t="s">
        <v>217</v>
      </c>
      <c r="C17" s="400" t="s">
        <v>82</v>
      </c>
      <c r="D17" s="399" t="s">
        <v>49</v>
      </c>
      <c r="E17" s="409">
        <v>4.68</v>
      </c>
      <c r="F17" s="407">
        <f>'MEMÓRIA '!F41</f>
        <v>22.92</v>
      </c>
      <c r="G17" s="402">
        <f t="shared" si="0"/>
        <v>27.58</v>
      </c>
      <c r="H17" s="402">
        <f t="shared" si="1"/>
        <v>107.27</v>
      </c>
      <c r="I17" s="403">
        <f t="shared" si="2"/>
        <v>129.07</v>
      </c>
      <c r="J17" s="404"/>
      <c r="K17" s="408"/>
    </row>
    <row r="18" spans="1:11" s="406" customFormat="1" ht="60">
      <c r="A18" s="399" t="s">
        <v>50</v>
      </c>
      <c r="B18" s="399" t="s">
        <v>223</v>
      </c>
      <c r="C18" s="400" t="s">
        <v>83</v>
      </c>
      <c r="D18" s="399" t="s">
        <v>9</v>
      </c>
      <c r="E18" s="401">
        <v>4</v>
      </c>
      <c r="F18" s="407">
        <f>'MEMÓRIA '!F46</f>
        <v>62.68</v>
      </c>
      <c r="G18" s="402">
        <f t="shared" si="0"/>
        <v>75.42</v>
      </c>
      <c r="H18" s="402">
        <f t="shared" si="1"/>
        <v>250.72</v>
      </c>
      <c r="I18" s="403">
        <f t="shared" si="2"/>
        <v>301.68</v>
      </c>
      <c r="K18" s="408"/>
    </row>
    <row r="19" spans="1:11" s="406" customFormat="1" ht="150">
      <c r="A19" s="399" t="s">
        <v>51</v>
      </c>
      <c r="B19" s="410" t="s">
        <v>231</v>
      </c>
      <c r="C19" s="400" t="s">
        <v>84</v>
      </c>
      <c r="D19" s="399" t="s">
        <v>48</v>
      </c>
      <c r="E19" s="401">
        <v>24</v>
      </c>
      <c r="F19" s="407">
        <f>'MEMÓRIA '!F55</f>
        <v>867.22</v>
      </c>
      <c r="G19" s="402">
        <f t="shared" si="0"/>
        <v>1043.44</v>
      </c>
      <c r="H19" s="402">
        <f t="shared" si="1"/>
        <v>20813.28</v>
      </c>
      <c r="I19" s="403">
        <f t="shared" si="2"/>
        <v>25042.56</v>
      </c>
      <c r="K19" s="408"/>
    </row>
    <row r="20" spans="1:11" s="406" customFormat="1" ht="90">
      <c r="A20" s="411" t="s">
        <v>52</v>
      </c>
      <c r="B20" s="412" t="s">
        <v>234</v>
      </c>
      <c r="C20" s="413" t="s">
        <v>85</v>
      </c>
      <c r="D20" s="411" t="s">
        <v>0</v>
      </c>
      <c r="E20" s="401">
        <v>6368.4</v>
      </c>
      <c r="F20" s="407">
        <f>'MEMÓRIA '!F59</f>
        <v>0.84</v>
      </c>
      <c r="G20" s="402">
        <f t="shared" si="0"/>
        <v>1.01</v>
      </c>
      <c r="H20" s="402">
        <f t="shared" si="1"/>
        <v>5349.46</v>
      </c>
      <c r="I20" s="403">
        <f t="shared" si="2"/>
        <v>6432.08</v>
      </c>
      <c r="K20" s="408"/>
    </row>
    <row r="21" spans="1:11" s="406" customFormat="1" ht="90">
      <c r="A21" s="414" t="s">
        <v>67</v>
      </c>
      <c r="B21" s="415" t="s">
        <v>237</v>
      </c>
      <c r="C21" s="416" t="s">
        <v>86</v>
      </c>
      <c r="D21" s="414" t="s">
        <v>2</v>
      </c>
      <c r="E21" s="401">
        <v>2284</v>
      </c>
      <c r="F21" s="417">
        <f>'MEMÓRIA '!F63</f>
        <v>16.39</v>
      </c>
      <c r="G21" s="402">
        <f t="shared" si="0"/>
        <v>19.72</v>
      </c>
      <c r="H21" s="402">
        <f t="shared" si="1"/>
        <v>37434.76</v>
      </c>
      <c r="I21" s="403">
        <f t="shared" si="2"/>
        <v>45040.48</v>
      </c>
      <c r="J21" s="404"/>
      <c r="K21" s="408"/>
    </row>
    <row r="22" spans="1:11" s="406" customFormat="1" ht="120">
      <c r="A22" s="411" t="s">
        <v>68</v>
      </c>
      <c r="B22" s="411" t="s">
        <v>800</v>
      </c>
      <c r="C22" s="400" t="s">
        <v>865</v>
      </c>
      <c r="D22" s="411" t="s">
        <v>0</v>
      </c>
      <c r="E22" s="401">
        <v>31557.36</v>
      </c>
      <c r="F22" s="407">
        <f>'MEMÓRIA '!F67</f>
        <v>6.72</v>
      </c>
      <c r="G22" s="402">
        <f t="shared" si="0"/>
        <v>8.09</v>
      </c>
      <c r="H22" s="402">
        <f t="shared" si="1"/>
        <v>212065.46</v>
      </c>
      <c r="I22" s="403">
        <f t="shared" si="2"/>
        <v>255299.04</v>
      </c>
      <c r="K22" s="408"/>
    </row>
    <row r="23" spans="1:11" s="419" customFormat="1" ht="90">
      <c r="A23" s="411" t="s">
        <v>443</v>
      </c>
      <c r="B23" s="411" t="s">
        <v>837</v>
      </c>
      <c r="C23" s="400" t="s">
        <v>838</v>
      </c>
      <c r="D23" s="411" t="s">
        <v>0</v>
      </c>
      <c r="E23" s="401">
        <v>9467.2</v>
      </c>
      <c r="F23" s="407">
        <f>'MEMÓRIA '!F79</f>
        <v>4.2</v>
      </c>
      <c r="G23" s="402">
        <f t="shared" si="0"/>
        <v>5.05</v>
      </c>
      <c r="H23" s="402">
        <f t="shared" si="1"/>
        <v>39762.24</v>
      </c>
      <c r="I23" s="403">
        <f t="shared" si="2"/>
        <v>47809.36</v>
      </c>
      <c r="J23" s="418"/>
      <c r="K23" s="408"/>
    </row>
    <row r="24" spans="1:15" s="419" customFormat="1" ht="150">
      <c r="A24" s="420" t="s">
        <v>512</v>
      </c>
      <c r="B24" s="420" t="s">
        <v>518</v>
      </c>
      <c r="C24" s="421" t="s">
        <v>513</v>
      </c>
      <c r="D24" s="420" t="s">
        <v>9</v>
      </c>
      <c r="E24" s="401">
        <v>76</v>
      </c>
      <c r="F24" s="422">
        <f>'MEMÓRIA '!F95</f>
        <v>66.18</v>
      </c>
      <c r="G24" s="402">
        <f t="shared" si="0"/>
        <v>79.63</v>
      </c>
      <c r="H24" s="402">
        <f t="shared" si="1"/>
        <v>5029.68</v>
      </c>
      <c r="I24" s="403">
        <f t="shared" si="2"/>
        <v>6051.88</v>
      </c>
      <c r="J24" s="406"/>
      <c r="K24" s="406"/>
      <c r="L24" s="406"/>
      <c r="M24" s="406"/>
      <c r="N24" s="406"/>
      <c r="O24" s="406"/>
    </row>
    <row r="25" spans="1:15" s="419" customFormat="1" ht="30">
      <c r="A25" s="420" t="s">
        <v>649</v>
      </c>
      <c r="B25" s="420" t="s">
        <v>650</v>
      </c>
      <c r="C25" s="421" t="s">
        <v>651</v>
      </c>
      <c r="D25" s="420" t="s">
        <v>2</v>
      </c>
      <c r="E25" s="401">
        <v>3538</v>
      </c>
      <c r="F25" s="422">
        <f>'MEMÓRIA '!F107</f>
        <v>3.01</v>
      </c>
      <c r="G25" s="402">
        <f t="shared" si="0"/>
        <v>3.62</v>
      </c>
      <c r="H25" s="402">
        <f t="shared" si="1"/>
        <v>10649.38</v>
      </c>
      <c r="I25" s="403">
        <f t="shared" si="2"/>
        <v>12807.56</v>
      </c>
      <c r="J25" s="406"/>
      <c r="K25" s="406"/>
      <c r="L25" s="406"/>
      <c r="M25" s="406"/>
      <c r="N25" s="406"/>
      <c r="O25" s="406"/>
    </row>
    <row r="26" spans="1:15" s="419" customFormat="1" ht="60">
      <c r="A26" s="420" t="s">
        <v>666</v>
      </c>
      <c r="B26" s="420" t="s">
        <v>669</v>
      </c>
      <c r="C26" s="421" t="s">
        <v>670</v>
      </c>
      <c r="D26" s="420" t="s">
        <v>677</v>
      </c>
      <c r="E26" s="401">
        <v>3538</v>
      </c>
      <c r="F26" s="422">
        <f>'MEMÓRIA '!F117</f>
        <v>1.66</v>
      </c>
      <c r="G26" s="402">
        <f t="shared" si="0"/>
        <v>2</v>
      </c>
      <c r="H26" s="402">
        <f t="shared" si="1"/>
        <v>5873.08</v>
      </c>
      <c r="I26" s="403">
        <f t="shared" si="2"/>
        <v>7076</v>
      </c>
      <c r="J26" s="406"/>
      <c r="K26" s="406"/>
      <c r="L26" s="406"/>
      <c r="M26" s="406"/>
      <c r="N26" s="406"/>
      <c r="O26" s="406"/>
    </row>
    <row r="27" spans="1:11" s="428" customFormat="1" ht="30">
      <c r="A27" s="423"/>
      <c r="B27" s="423"/>
      <c r="C27" s="424"/>
      <c r="D27" s="423"/>
      <c r="E27" s="425"/>
      <c r="F27" s="426"/>
      <c r="G27" s="426" t="s">
        <v>116</v>
      </c>
      <c r="H27" s="427">
        <f>SUM(H13:H26)</f>
        <v>351134.69</v>
      </c>
      <c r="I27" s="427">
        <f>SUM(I13:I26)</f>
        <v>422593.23000000004</v>
      </c>
      <c r="K27" s="429"/>
    </row>
    <row r="28" spans="1:11" s="433" customFormat="1" ht="30">
      <c r="A28" s="430" t="s">
        <v>20</v>
      </c>
      <c r="B28" s="430"/>
      <c r="C28" s="431" t="s">
        <v>727</v>
      </c>
      <c r="D28" s="430"/>
      <c r="E28" s="432"/>
      <c r="F28" s="397"/>
      <c r="G28" s="397"/>
      <c r="H28" s="397"/>
      <c r="I28" s="397"/>
      <c r="K28" s="434"/>
    </row>
    <row r="29" spans="1:11" s="406" customFormat="1" ht="180">
      <c r="A29" s="411" t="s">
        <v>33</v>
      </c>
      <c r="B29" s="411" t="s">
        <v>866</v>
      </c>
      <c r="C29" s="413" t="s">
        <v>867</v>
      </c>
      <c r="D29" s="411" t="s">
        <v>1</v>
      </c>
      <c r="E29" s="401">
        <v>1893.42</v>
      </c>
      <c r="F29" s="407">
        <f>'MEMÓRIA '!F126</f>
        <v>8.5</v>
      </c>
      <c r="G29" s="402">
        <f>ROUND((F29*1.2032),2)</f>
        <v>10.23</v>
      </c>
      <c r="H29" s="402">
        <f>ROUND((E29*F29),2)</f>
        <v>16094.07</v>
      </c>
      <c r="I29" s="403">
        <f>ROUND((E29*G29),2)</f>
        <v>19369.69</v>
      </c>
      <c r="K29" s="408"/>
    </row>
    <row r="30" spans="1:11" s="435" customFormat="1" ht="90">
      <c r="A30" s="411" t="s">
        <v>34</v>
      </c>
      <c r="B30" s="411" t="s">
        <v>432</v>
      </c>
      <c r="C30" s="413" t="s">
        <v>749</v>
      </c>
      <c r="D30" s="411" t="s">
        <v>701</v>
      </c>
      <c r="E30" s="401">
        <v>1893.42</v>
      </c>
      <c r="F30" s="407">
        <f>'MEMÓRIA '!F132</f>
        <v>32.1</v>
      </c>
      <c r="G30" s="402">
        <f>ROUND((F30*1.2032),2)</f>
        <v>38.62</v>
      </c>
      <c r="H30" s="402">
        <f>ROUND((E30*F30),2)</f>
        <v>60778.78</v>
      </c>
      <c r="I30" s="403">
        <f>ROUND((E30*G30),2)</f>
        <v>73123.88</v>
      </c>
      <c r="K30" s="436"/>
    </row>
    <row r="31" spans="1:11" s="440" customFormat="1" ht="30">
      <c r="A31" s="395"/>
      <c r="B31" s="395"/>
      <c r="C31" s="396"/>
      <c r="D31" s="395"/>
      <c r="E31" s="437"/>
      <c r="F31" s="438"/>
      <c r="G31" s="438" t="s">
        <v>117</v>
      </c>
      <c r="H31" s="439">
        <f>SUM(H29:H30)</f>
        <v>76872.85</v>
      </c>
      <c r="I31" s="439">
        <f>SUM(I29:I30)</f>
        <v>92493.57</v>
      </c>
      <c r="K31" s="441"/>
    </row>
    <row r="32" spans="1:11" s="428" customFormat="1" ht="30">
      <c r="A32" s="395" t="s">
        <v>21</v>
      </c>
      <c r="B32" s="395"/>
      <c r="C32" s="396" t="s">
        <v>728</v>
      </c>
      <c r="D32" s="395"/>
      <c r="E32" s="437"/>
      <c r="F32" s="397"/>
      <c r="G32" s="397"/>
      <c r="H32" s="397"/>
      <c r="I32" s="397"/>
      <c r="K32" s="429"/>
    </row>
    <row r="33" spans="1:11" s="406" customFormat="1" ht="180">
      <c r="A33" s="411" t="s">
        <v>10</v>
      </c>
      <c r="B33" s="411" t="s">
        <v>866</v>
      </c>
      <c r="C33" s="413" t="s">
        <v>867</v>
      </c>
      <c r="D33" s="411" t="s">
        <v>1</v>
      </c>
      <c r="E33" s="401">
        <v>707.6</v>
      </c>
      <c r="F33" s="407">
        <f>'MEMÓRIA '!F142</f>
        <v>8.5</v>
      </c>
      <c r="G33" s="402">
        <f aca="true" t="shared" si="3" ref="G33:G40">ROUND((F33*1.2032),2)</f>
        <v>10.23</v>
      </c>
      <c r="H33" s="402">
        <f aca="true" t="shared" si="4" ref="H33:H40">ROUND((E33*F33),2)</f>
        <v>6014.6</v>
      </c>
      <c r="I33" s="403">
        <f aca="true" t="shared" si="5" ref="I33:I40">ROUND((E33*G33),2)</f>
        <v>7238.75</v>
      </c>
      <c r="K33" s="408"/>
    </row>
    <row r="34" spans="1:11" s="406" customFormat="1" ht="60">
      <c r="A34" s="411" t="s">
        <v>11</v>
      </c>
      <c r="B34" s="411" t="s">
        <v>432</v>
      </c>
      <c r="C34" s="413" t="s">
        <v>707</v>
      </c>
      <c r="D34" s="411" t="s">
        <v>701</v>
      </c>
      <c r="E34" s="401">
        <v>212.28</v>
      </c>
      <c r="F34" s="407">
        <f>'MEMÓRIA '!F148</f>
        <v>32.1</v>
      </c>
      <c r="G34" s="402">
        <f t="shared" si="3"/>
        <v>38.62</v>
      </c>
      <c r="H34" s="402">
        <f t="shared" si="4"/>
        <v>6814.19</v>
      </c>
      <c r="I34" s="403">
        <f t="shared" si="5"/>
        <v>8198.25</v>
      </c>
      <c r="K34" s="408"/>
    </row>
    <row r="35" spans="1:11" s="406" customFormat="1" ht="120">
      <c r="A35" s="411" t="s">
        <v>12</v>
      </c>
      <c r="B35" s="412" t="s">
        <v>244</v>
      </c>
      <c r="C35" s="413" t="s">
        <v>88</v>
      </c>
      <c r="D35" s="411" t="s">
        <v>677</v>
      </c>
      <c r="E35" s="401">
        <v>2284</v>
      </c>
      <c r="F35" s="407">
        <f>'MEMÓRIA '!F156</f>
        <v>38.74</v>
      </c>
      <c r="G35" s="402">
        <f t="shared" si="3"/>
        <v>46.61</v>
      </c>
      <c r="H35" s="402">
        <f t="shared" si="4"/>
        <v>88482.16</v>
      </c>
      <c r="I35" s="403">
        <f t="shared" si="5"/>
        <v>106457.24</v>
      </c>
      <c r="K35" s="408"/>
    </row>
    <row r="36" spans="1:11" s="406" customFormat="1" ht="60">
      <c r="A36" s="411" t="s">
        <v>65</v>
      </c>
      <c r="B36" s="412" t="s">
        <v>593</v>
      </c>
      <c r="C36" s="413" t="s">
        <v>708</v>
      </c>
      <c r="D36" s="411" t="s">
        <v>677</v>
      </c>
      <c r="E36" s="401">
        <v>7076</v>
      </c>
      <c r="F36" s="407">
        <f>'MEMÓRIA '!F164</f>
        <v>31.97</v>
      </c>
      <c r="G36" s="402">
        <f t="shared" si="3"/>
        <v>38.47</v>
      </c>
      <c r="H36" s="402">
        <f t="shared" si="4"/>
        <v>226219.72</v>
      </c>
      <c r="I36" s="403">
        <f t="shared" si="5"/>
        <v>272213.72</v>
      </c>
      <c r="K36" s="408"/>
    </row>
    <row r="37" spans="1:12" s="447" customFormat="1" ht="60">
      <c r="A37" s="411" t="s">
        <v>69</v>
      </c>
      <c r="B37" s="442" t="s">
        <v>511</v>
      </c>
      <c r="C37" s="421" t="s">
        <v>574</v>
      </c>
      <c r="D37" s="443" t="s">
        <v>699</v>
      </c>
      <c r="E37" s="401">
        <v>29337.36</v>
      </c>
      <c r="F37" s="407">
        <f>'MEMÓRIA '!F173</f>
        <v>2.26</v>
      </c>
      <c r="G37" s="402">
        <f t="shared" si="3"/>
        <v>2.72</v>
      </c>
      <c r="H37" s="402">
        <f t="shared" si="4"/>
        <v>66302.43</v>
      </c>
      <c r="I37" s="403">
        <f t="shared" si="5"/>
        <v>79797.62</v>
      </c>
      <c r="J37" s="444"/>
      <c r="K37" s="445"/>
      <c r="L37" s="446"/>
    </row>
    <row r="38" spans="1:11" s="435" customFormat="1" ht="180">
      <c r="A38" s="411" t="s">
        <v>70</v>
      </c>
      <c r="B38" s="411" t="s">
        <v>460</v>
      </c>
      <c r="C38" s="413" t="s">
        <v>730</v>
      </c>
      <c r="D38" s="411" t="s">
        <v>699</v>
      </c>
      <c r="E38" s="401">
        <v>29337.36</v>
      </c>
      <c r="F38" s="448">
        <f>'MEMÓRIA '!F184</f>
        <v>48.69</v>
      </c>
      <c r="G38" s="402">
        <f t="shared" si="3"/>
        <v>58.58</v>
      </c>
      <c r="H38" s="402">
        <f t="shared" si="4"/>
        <v>1428436.06</v>
      </c>
      <c r="I38" s="403">
        <f t="shared" si="5"/>
        <v>1718582.55</v>
      </c>
      <c r="K38" s="436"/>
    </row>
    <row r="39" spans="1:11" s="406" customFormat="1" ht="120">
      <c r="A39" s="411" t="s">
        <v>79</v>
      </c>
      <c r="B39" s="399" t="s">
        <v>275</v>
      </c>
      <c r="C39" s="400" t="s">
        <v>520</v>
      </c>
      <c r="D39" s="399" t="s">
        <v>702</v>
      </c>
      <c r="E39" s="401">
        <v>4993.19</v>
      </c>
      <c r="F39" s="407">
        <f>'MEMÓRIA '!F203</f>
        <v>7.08</v>
      </c>
      <c r="G39" s="402">
        <f t="shared" si="3"/>
        <v>8.52</v>
      </c>
      <c r="H39" s="402">
        <f t="shared" si="4"/>
        <v>35351.79</v>
      </c>
      <c r="I39" s="403">
        <f t="shared" si="5"/>
        <v>42541.98</v>
      </c>
      <c r="J39" s="418"/>
      <c r="K39" s="408"/>
    </row>
    <row r="40" spans="1:11" s="406" customFormat="1" ht="120">
      <c r="A40" s="411" t="s">
        <v>648</v>
      </c>
      <c r="B40" s="399" t="s">
        <v>280</v>
      </c>
      <c r="C40" s="400" t="s">
        <v>709</v>
      </c>
      <c r="D40" s="399" t="s">
        <v>703</v>
      </c>
      <c r="E40" s="401">
        <v>271879.17</v>
      </c>
      <c r="F40" s="407">
        <f>'MEMÓRIA '!F208</f>
        <v>0.56</v>
      </c>
      <c r="G40" s="402">
        <f t="shared" si="3"/>
        <v>0.67</v>
      </c>
      <c r="H40" s="402">
        <f t="shared" si="4"/>
        <v>152252.34</v>
      </c>
      <c r="I40" s="403">
        <f t="shared" si="5"/>
        <v>182159.04</v>
      </c>
      <c r="K40" s="408"/>
    </row>
    <row r="41" spans="1:11" s="447" customFormat="1" ht="30">
      <c r="A41" s="399"/>
      <c r="B41" s="414"/>
      <c r="C41" s="416"/>
      <c r="D41" s="449"/>
      <c r="E41" s="450"/>
      <c r="F41" s="451"/>
      <c r="G41" s="451"/>
      <c r="H41" s="451"/>
      <c r="I41" s="452"/>
      <c r="K41" s="445"/>
    </row>
    <row r="42" spans="1:11" s="428" customFormat="1" ht="30">
      <c r="A42" s="395"/>
      <c r="B42" s="395"/>
      <c r="C42" s="396"/>
      <c r="D42" s="395"/>
      <c r="E42" s="437"/>
      <c r="F42" s="438"/>
      <c r="G42" s="438" t="s">
        <v>118</v>
      </c>
      <c r="H42" s="439">
        <f>SUM(H33:H41)</f>
        <v>2009873.2900000003</v>
      </c>
      <c r="I42" s="439">
        <f>SUM(I33:I41)</f>
        <v>2417189.15</v>
      </c>
      <c r="K42" s="429"/>
    </row>
    <row r="43" spans="1:11" s="440" customFormat="1" ht="30">
      <c r="A43" s="395" t="s">
        <v>22</v>
      </c>
      <c r="B43" s="395"/>
      <c r="C43" s="396" t="s">
        <v>729</v>
      </c>
      <c r="D43" s="395"/>
      <c r="E43" s="437"/>
      <c r="F43" s="397"/>
      <c r="G43" s="397"/>
      <c r="H43" s="397"/>
      <c r="I43" s="397"/>
      <c r="K43" s="441"/>
    </row>
    <row r="44" spans="1:11" s="406" customFormat="1" ht="180">
      <c r="A44" s="411" t="s">
        <v>13</v>
      </c>
      <c r="B44" s="411" t="s">
        <v>866</v>
      </c>
      <c r="C44" s="413" t="s">
        <v>867</v>
      </c>
      <c r="D44" s="411" t="s">
        <v>1</v>
      </c>
      <c r="E44" s="401">
        <v>3283.05</v>
      </c>
      <c r="F44" s="407">
        <f>'MEMÓRIA '!F215</f>
        <v>8.5</v>
      </c>
      <c r="G44" s="402">
        <f aca="true" t="shared" si="6" ref="G44:G69">ROUND((F44*1.2032),2)</f>
        <v>10.23</v>
      </c>
      <c r="H44" s="402">
        <f aca="true" t="shared" si="7" ref="H44:H69">ROUND((E44*F44),2)</f>
        <v>27905.93</v>
      </c>
      <c r="I44" s="403">
        <f aca="true" t="shared" si="8" ref="I44:I69">ROUND((E44*G44),2)</f>
        <v>33585.6</v>
      </c>
      <c r="K44" s="408"/>
    </row>
    <row r="45" spans="1:11" s="435" customFormat="1" ht="180">
      <c r="A45" s="411" t="s">
        <v>14</v>
      </c>
      <c r="B45" s="411" t="s">
        <v>872</v>
      </c>
      <c r="C45" s="413" t="s">
        <v>873</v>
      </c>
      <c r="D45" s="411" t="s">
        <v>701</v>
      </c>
      <c r="E45" s="401">
        <v>1364.84</v>
      </c>
      <c r="F45" s="407">
        <f>'MEMÓRIA '!F221</f>
        <v>7.76</v>
      </c>
      <c r="G45" s="402">
        <f t="shared" si="6"/>
        <v>9.34</v>
      </c>
      <c r="H45" s="402">
        <f t="shared" si="7"/>
        <v>10591.16</v>
      </c>
      <c r="I45" s="403">
        <f t="shared" si="8"/>
        <v>12747.61</v>
      </c>
      <c r="K45" s="436"/>
    </row>
    <row r="46" spans="1:11" s="406" customFormat="1" ht="60">
      <c r="A46" s="411" t="s">
        <v>15</v>
      </c>
      <c r="B46" s="411" t="s">
        <v>286</v>
      </c>
      <c r="C46" s="413" t="s">
        <v>90</v>
      </c>
      <c r="D46" s="411" t="s">
        <v>701</v>
      </c>
      <c r="E46" s="401">
        <v>3317.13</v>
      </c>
      <c r="F46" s="407">
        <f>'MEMÓRIA '!F227</f>
        <v>11.12</v>
      </c>
      <c r="G46" s="402">
        <f t="shared" si="6"/>
        <v>13.38</v>
      </c>
      <c r="H46" s="402">
        <f t="shared" si="7"/>
        <v>36886.49</v>
      </c>
      <c r="I46" s="403">
        <f t="shared" si="8"/>
        <v>44383.2</v>
      </c>
      <c r="K46" s="408"/>
    </row>
    <row r="47" spans="1:11" s="406" customFormat="1" ht="90">
      <c r="A47" s="411" t="s">
        <v>57</v>
      </c>
      <c r="B47" s="411" t="s">
        <v>615</v>
      </c>
      <c r="C47" s="413" t="s">
        <v>710</v>
      </c>
      <c r="D47" s="411" t="s">
        <v>701</v>
      </c>
      <c r="E47" s="401">
        <v>955.85</v>
      </c>
      <c r="F47" s="407">
        <f>'MEMÓRIA '!F235</f>
        <v>107.14</v>
      </c>
      <c r="G47" s="402">
        <f t="shared" si="6"/>
        <v>128.91</v>
      </c>
      <c r="H47" s="402">
        <f t="shared" si="7"/>
        <v>102409.77</v>
      </c>
      <c r="I47" s="403">
        <f t="shared" si="8"/>
        <v>123218.62</v>
      </c>
      <c r="K47" s="408"/>
    </row>
    <row r="48" spans="1:11" s="406" customFormat="1" ht="90">
      <c r="A48" s="411" t="s">
        <v>58</v>
      </c>
      <c r="B48" s="411" t="s">
        <v>615</v>
      </c>
      <c r="C48" s="413" t="s">
        <v>711</v>
      </c>
      <c r="D48" s="411" t="s">
        <v>701</v>
      </c>
      <c r="E48" s="401">
        <v>1692.61</v>
      </c>
      <c r="F48" s="407">
        <f>'MEMÓRIA '!F244</f>
        <v>53.94</v>
      </c>
      <c r="G48" s="402">
        <f t="shared" si="6"/>
        <v>64.9</v>
      </c>
      <c r="H48" s="402">
        <f t="shared" si="7"/>
        <v>91299.38</v>
      </c>
      <c r="I48" s="403">
        <f t="shared" si="8"/>
        <v>109850.39</v>
      </c>
      <c r="K48" s="408"/>
    </row>
    <row r="49" spans="1:11" s="406" customFormat="1" ht="120">
      <c r="A49" s="411" t="s">
        <v>60</v>
      </c>
      <c r="B49" s="411" t="s">
        <v>874</v>
      </c>
      <c r="C49" s="400" t="s">
        <v>875</v>
      </c>
      <c r="D49" s="399" t="s">
        <v>677</v>
      </c>
      <c r="E49" s="401">
        <v>201</v>
      </c>
      <c r="F49" s="407">
        <f>'MEMÓRIA '!F254</f>
        <v>94.51</v>
      </c>
      <c r="G49" s="402">
        <f t="shared" si="6"/>
        <v>113.71</v>
      </c>
      <c r="H49" s="402">
        <f t="shared" si="7"/>
        <v>18996.51</v>
      </c>
      <c r="I49" s="403">
        <f t="shared" si="8"/>
        <v>22855.71</v>
      </c>
      <c r="K49" s="408"/>
    </row>
    <row r="50" spans="1:11" s="419" customFormat="1" ht="120">
      <c r="A50" s="411" t="s">
        <v>64</v>
      </c>
      <c r="B50" s="411" t="s">
        <v>880</v>
      </c>
      <c r="C50" s="400" t="s">
        <v>881</v>
      </c>
      <c r="D50" s="399" t="s">
        <v>677</v>
      </c>
      <c r="E50" s="401">
        <v>653</v>
      </c>
      <c r="F50" s="407">
        <f>'MEMÓRIA '!F263</f>
        <v>109.59</v>
      </c>
      <c r="G50" s="402">
        <f t="shared" si="6"/>
        <v>131.86</v>
      </c>
      <c r="H50" s="402">
        <f t="shared" si="7"/>
        <v>71562.27</v>
      </c>
      <c r="I50" s="403">
        <f t="shared" si="8"/>
        <v>86104.58</v>
      </c>
      <c r="K50" s="453"/>
    </row>
    <row r="51" spans="1:11" s="406" customFormat="1" ht="120">
      <c r="A51" s="411" t="s">
        <v>71</v>
      </c>
      <c r="B51" s="411" t="s">
        <v>886</v>
      </c>
      <c r="C51" s="413" t="s">
        <v>889</v>
      </c>
      <c r="D51" s="411" t="s">
        <v>677</v>
      </c>
      <c r="E51" s="401">
        <v>149</v>
      </c>
      <c r="F51" s="407">
        <f>'MEMÓRIA '!F272</f>
        <v>176.02</v>
      </c>
      <c r="G51" s="402">
        <f t="shared" si="6"/>
        <v>211.79</v>
      </c>
      <c r="H51" s="402">
        <f t="shared" si="7"/>
        <v>26226.98</v>
      </c>
      <c r="I51" s="403">
        <f t="shared" si="8"/>
        <v>31556.71</v>
      </c>
      <c r="K51" s="408"/>
    </row>
    <row r="52" spans="1:11" s="406" customFormat="1" ht="150">
      <c r="A52" s="411" t="s">
        <v>72</v>
      </c>
      <c r="B52" s="411" t="s">
        <v>887</v>
      </c>
      <c r="C52" s="413" t="s">
        <v>892</v>
      </c>
      <c r="D52" s="411" t="s">
        <v>677</v>
      </c>
      <c r="E52" s="401">
        <v>39</v>
      </c>
      <c r="F52" s="407">
        <f>'MEMÓRIA '!F281</f>
        <v>349.48</v>
      </c>
      <c r="G52" s="402">
        <f t="shared" si="6"/>
        <v>420.49</v>
      </c>
      <c r="H52" s="402">
        <f t="shared" si="7"/>
        <v>13629.72</v>
      </c>
      <c r="I52" s="403">
        <f t="shared" si="8"/>
        <v>16399.11</v>
      </c>
      <c r="K52" s="408"/>
    </row>
    <row r="53" spans="1:11" s="406" customFormat="1" ht="150">
      <c r="A53" s="411" t="s">
        <v>73</v>
      </c>
      <c r="B53" s="411" t="s">
        <v>888</v>
      </c>
      <c r="C53" s="413" t="s">
        <v>895</v>
      </c>
      <c r="D53" s="411" t="s">
        <v>677</v>
      </c>
      <c r="E53" s="401">
        <v>382</v>
      </c>
      <c r="F53" s="407">
        <f>'MEMÓRIA '!F290</f>
        <v>472.9</v>
      </c>
      <c r="G53" s="402">
        <f t="shared" si="6"/>
        <v>568.99</v>
      </c>
      <c r="H53" s="402">
        <f t="shared" si="7"/>
        <v>180647.8</v>
      </c>
      <c r="I53" s="403">
        <f t="shared" si="8"/>
        <v>217354.18</v>
      </c>
      <c r="K53" s="408"/>
    </row>
    <row r="54" spans="1:11" s="435" customFormat="1" ht="210">
      <c r="A54" s="411" t="s">
        <v>74</v>
      </c>
      <c r="B54" s="454" t="s">
        <v>597</v>
      </c>
      <c r="C54" s="455" t="s">
        <v>731</v>
      </c>
      <c r="D54" s="456" t="s">
        <v>700</v>
      </c>
      <c r="E54" s="401">
        <v>15</v>
      </c>
      <c r="F54" s="407">
        <f>'MEMÓRIA '!F299</f>
        <v>1674.22</v>
      </c>
      <c r="G54" s="402">
        <f t="shared" si="6"/>
        <v>2014.42</v>
      </c>
      <c r="H54" s="402">
        <f t="shared" si="7"/>
        <v>25113.3</v>
      </c>
      <c r="I54" s="403">
        <f t="shared" si="8"/>
        <v>30216.3</v>
      </c>
      <c r="K54" s="436"/>
    </row>
    <row r="55" spans="1:11" s="406" customFormat="1" ht="180">
      <c r="A55" s="411" t="s">
        <v>75</v>
      </c>
      <c r="B55" s="412" t="s">
        <v>296</v>
      </c>
      <c r="C55" s="400" t="s">
        <v>91</v>
      </c>
      <c r="D55" s="399" t="s">
        <v>700</v>
      </c>
      <c r="E55" s="401">
        <v>36</v>
      </c>
      <c r="F55" s="407">
        <f>'MEMÓRIA '!F299</f>
        <v>1674.22</v>
      </c>
      <c r="G55" s="402">
        <f t="shared" si="6"/>
        <v>2014.42</v>
      </c>
      <c r="H55" s="402">
        <f t="shared" si="7"/>
        <v>60271.92</v>
      </c>
      <c r="I55" s="403">
        <f t="shared" si="8"/>
        <v>72519.12</v>
      </c>
      <c r="J55" s="418"/>
      <c r="K55" s="408"/>
    </row>
    <row r="56" spans="1:11" s="435" customFormat="1" ht="90">
      <c r="A56" s="411" t="s">
        <v>76</v>
      </c>
      <c r="B56" s="412" t="s">
        <v>601</v>
      </c>
      <c r="C56" s="413" t="s">
        <v>712</v>
      </c>
      <c r="D56" s="411" t="s">
        <v>700</v>
      </c>
      <c r="E56" s="409">
        <v>4</v>
      </c>
      <c r="F56" s="448">
        <f>'MEMÓRIA '!F324</f>
        <v>6663.16</v>
      </c>
      <c r="G56" s="402">
        <f t="shared" si="6"/>
        <v>8017.11</v>
      </c>
      <c r="H56" s="402">
        <f t="shared" si="7"/>
        <v>26652.64</v>
      </c>
      <c r="I56" s="403">
        <f t="shared" si="8"/>
        <v>32068.44</v>
      </c>
      <c r="K56" s="436"/>
    </row>
    <row r="57" spans="1:11" s="435" customFormat="1" ht="90">
      <c r="A57" s="411" t="s">
        <v>77</v>
      </c>
      <c r="B57" s="412" t="s">
        <v>601</v>
      </c>
      <c r="C57" s="413" t="s">
        <v>713</v>
      </c>
      <c r="D57" s="411" t="s">
        <v>700</v>
      </c>
      <c r="E57" s="409">
        <v>1</v>
      </c>
      <c r="F57" s="448">
        <f>'MEMÓRIA '!F356</f>
        <v>5216.54</v>
      </c>
      <c r="G57" s="402">
        <f t="shared" si="6"/>
        <v>6276.54</v>
      </c>
      <c r="H57" s="402">
        <f t="shared" si="7"/>
        <v>5216.54</v>
      </c>
      <c r="I57" s="403">
        <f t="shared" si="8"/>
        <v>6276.54</v>
      </c>
      <c r="K57" s="436"/>
    </row>
    <row r="58" spans="1:11" s="435" customFormat="1" ht="90">
      <c r="A58" s="411" t="s">
        <v>78</v>
      </c>
      <c r="B58" s="412" t="s">
        <v>601</v>
      </c>
      <c r="C58" s="413" t="s">
        <v>714</v>
      </c>
      <c r="D58" s="411" t="s">
        <v>700</v>
      </c>
      <c r="E58" s="409">
        <v>1</v>
      </c>
      <c r="F58" s="448">
        <f>'MEMÓRIA '!F388</f>
        <v>6869.82</v>
      </c>
      <c r="G58" s="402">
        <f t="shared" si="6"/>
        <v>8265.77</v>
      </c>
      <c r="H58" s="402">
        <f t="shared" si="7"/>
        <v>6869.82</v>
      </c>
      <c r="I58" s="403">
        <f t="shared" si="8"/>
        <v>8265.77</v>
      </c>
      <c r="K58" s="436"/>
    </row>
    <row r="59" spans="1:11" s="435" customFormat="1" ht="90">
      <c r="A59" s="411" t="s">
        <v>429</v>
      </c>
      <c r="B59" s="412" t="s">
        <v>601</v>
      </c>
      <c r="C59" s="413" t="s">
        <v>715</v>
      </c>
      <c r="D59" s="411" t="s">
        <v>700</v>
      </c>
      <c r="E59" s="409">
        <v>1</v>
      </c>
      <c r="F59" s="448">
        <f>'MEMÓRIA '!F420</f>
        <v>7696.45</v>
      </c>
      <c r="G59" s="402">
        <f t="shared" si="6"/>
        <v>9260.37</v>
      </c>
      <c r="H59" s="402">
        <f t="shared" si="7"/>
        <v>7696.45</v>
      </c>
      <c r="I59" s="403">
        <f t="shared" si="8"/>
        <v>9260.37</v>
      </c>
      <c r="K59" s="436"/>
    </row>
    <row r="60" spans="1:11" s="435" customFormat="1" ht="90">
      <c r="A60" s="411" t="s">
        <v>431</v>
      </c>
      <c r="B60" s="412" t="s">
        <v>601</v>
      </c>
      <c r="C60" s="413" t="s">
        <v>716</v>
      </c>
      <c r="D60" s="411" t="s">
        <v>700</v>
      </c>
      <c r="E60" s="409">
        <v>1</v>
      </c>
      <c r="F60" s="448">
        <f>'MEMÓRIA '!F452</f>
        <v>8109.77</v>
      </c>
      <c r="G60" s="402">
        <f t="shared" si="6"/>
        <v>9757.68</v>
      </c>
      <c r="H60" s="402">
        <f t="shared" si="7"/>
        <v>8109.77</v>
      </c>
      <c r="I60" s="403">
        <f t="shared" si="8"/>
        <v>9757.68</v>
      </c>
      <c r="K60" s="436"/>
    </row>
    <row r="61" spans="1:11" s="435" customFormat="1" ht="90">
      <c r="A61" s="411" t="s">
        <v>566</v>
      </c>
      <c r="B61" s="412" t="s">
        <v>601</v>
      </c>
      <c r="C61" s="413" t="s">
        <v>717</v>
      </c>
      <c r="D61" s="411" t="s">
        <v>700</v>
      </c>
      <c r="E61" s="409">
        <v>1</v>
      </c>
      <c r="F61" s="448">
        <f>'MEMÓRIA '!F484</f>
        <v>7489.79</v>
      </c>
      <c r="G61" s="402">
        <f t="shared" si="6"/>
        <v>9011.72</v>
      </c>
      <c r="H61" s="402">
        <f t="shared" si="7"/>
        <v>7489.79</v>
      </c>
      <c r="I61" s="403">
        <f t="shared" si="8"/>
        <v>9011.72</v>
      </c>
      <c r="K61" s="436"/>
    </row>
    <row r="62" spans="1:11" s="435" customFormat="1" ht="180">
      <c r="A62" s="411" t="s">
        <v>575</v>
      </c>
      <c r="B62" s="412" t="s">
        <v>555</v>
      </c>
      <c r="C62" s="413" t="s">
        <v>732</v>
      </c>
      <c r="D62" s="411" t="s">
        <v>700</v>
      </c>
      <c r="E62" s="409">
        <v>1</v>
      </c>
      <c r="F62" s="448">
        <f>'MEMÓRIA '!F516</f>
        <v>4580.64</v>
      </c>
      <c r="G62" s="402">
        <f t="shared" si="6"/>
        <v>5511.43</v>
      </c>
      <c r="H62" s="402">
        <f t="shared" si="7"/>
        <v>4580.64</v>
      </c>
      <c r="I62" s="403">
        <f t="shared" si="8"/>
        <v>5511.43</v>
      </c>
      <c r="K62" s="436"/>
    </row>
    <row r="63" spans="1:9" s="406" customFormat="1" ht="120">
      <c r="A63" s="411" t="s">
        <v>576</v>
      </c>
      <c r="B63" s="412" t="s">
        <v>317</v>
      </c>
      <c r="C63" s="413" t="s">
        <v>92</v>
      </c>
      <c r="D63" s="411" t="s">
        <v>700</v>
      </c>
      <c r="E63" s="401">
        <v>25</v>
      </c>
      <c r="F63" s="407">
        <f>'MEMÓRIA '!F536</f>
        <v>351.2</v>
      </c>
      <c r="G63" s="402">
        <f t="shared" si="6"/>
        <v>422.56</v>
      </c>
      <c r="H63" s="402">
        <f t="shared" si="7"/>
        <v>8780</v>
      </c>
      <c r="I63" s="403">
        <f t="shared" si="8"/>
        <v>10564</v>
      </c>
    </row>
    <row r="64" spans="1:9" s="406" customFormat="1" ht="210">
      <c r="A64" s="411" t="s">
        <v>577</v>
      </c>
      <c r="B64" s="411" t="s">
        <v>66</v>
      </c>
      <c r="C64" s="413" t="s">
        <v>718</v>
      </c>
      <c r="D64" s="411" t="s">
        <v>700</v>
      </c>
      <c r="E64" s="401">
        <v>3</v>
      </c>
      <c r="F64" s="407">
        <f>'MEMÓRIA '!F543</f>
        <v>6762.13</v>
      </c>
      <c r="G64" s="402">
        <f t="shared" si="6"/>
        <v>8136.19</v>
      </c>
      <c r="H64" s="402">
        <f t="shared" si="7"/>
        <v>20286.39</v>
      </c>
      <c r="I64" s="403">
        <f t="shared" si="8"/>
        <v>24408.57</v>
      </c>
    </row>
    <row r="65" spans="1:11" s="447" customFormat="1" ht="210">
      <c r="A65" s="411" t="s">
        <v>578</v>
      </c>
      <c r="B65" s="411" t="s">
        <v>66</v>
      </c>
      <c r="C65" s="413" t="s">
        <v>719</v>
      </c>
      <c r="D65" s="411" t="s">
        <v>700</v>
      </c>
      <c r="E65" s="401">
        <v>1</v>
      </c>
      <c r="F65" s="407">
        <f>'MEMÓRIA '!F568</f>
        <v>1160.25</v>
      </c>
      <c r="G65" s="402">
        <f t="shared" si="6"/>
        <v>1396.01</v>
      </c>
      <c r="H65" s="402">
        <f t="shared" si="7"/>
        <v>1160.25</v>
      </c>
      <c r="I65" s="403">
        <f t="shared" si="8"/>
        <v>1396.01</v>
      </c>
      <c r="K65" s="445"/>
    </row>
    <row r="66" spans="1:11" s="435" customFormat="1" ht="210">
      <c r="A66" s="411" t="s">
        <v>579</v>
      </c>
      <c r="B66" s="411" t="s">
        <v>66</v>
      </c>
      <c r="C66" s="413" t="s">
        <v>720</v>
      </c>
      <c r="D66" s="411" t="s">
        <v>700</v>
      </c>
      <c r="E66" s="401">
        <v>1</v>
      </c>
      <c r="F66" s="407">
        <f>'MEMÓRIA '!F593</f>
        <v>4137.16</v>
      </c>
      <c r="G66" s="402">
        <f t="shared" si="6"/>
        <v>4977.83</v>
      </c>
      <c r="H66" s="402">
        <f t="shared" si="7"/>
        <v>4137.16</v>
      </c>
      <c r="I66" s="403">
        <f t="shared" si="8"/>
        <v>4977.83</v>
      </c>
      <c r="K66" s="436"/>
    </row>
    <row r="67" spans="1:11" s="435" customFormat="1" ht="330">
      <c r="A67" s="411" t="s">
        <v>618</v>
      </c>
      <c r="B67" s="412" t="s">
        <v>733</v>
      </c>
      <c r="C67" s="413" t="s">
        <v>102</v>
      </c>
      <c r="D67" s="411" t="s">
        <v>700</v>
      </c>
      <c r="E67" s="401">
        <v>2</v>
      </c>
      <c r="F67" s="407">
        <f>'MEMÓRIA '!F618</f>
        <v>3726.99</v>
      </c>
      <c r="G67" s="402">
        <f t="shared" si="6"/>
        <v>4484.31</v>
      </c>
      <c r="H67" s="402">
        <f t="shared" si="7"/>
        <v>7453.98</v>
      </c>
      <c r="I67" s="403">
        <f t="shared" si="8"/>
        <v>8968.62</v>
      </c>
      <c r="K67" s="436"/>
    </row>
    <row r="68" spans="1:11" s="435" customFormat="1" ht="150">
      <c r="A68" s="411" t="s">
        <v>619</v>
      </c>
      <c r="B68" s="412" t="s">
        <v>633</v>
      </c>
      <c r="C68" s="457" t="s">
        <v>725</v>
      </c>
      <c r="D68" s="411" t="s">
        <v>699</v>
      </c>
      <c r="E68" s="409">
        <v>5143.88</v>
      </c>
      <c r="F68" s="407">
        <f>'MEMÓRIA '!F639</f>
        <v>14.41</v>
      </c>
      <c r="G68" s="402">
        <f t="shared" si="6"/>
        <v>17.34</v>
      </c>
      <c r="H68" s="402">
        <f t="shared" si="7"/>
        <v>74123.31</v>
      </c>
      <c r="I68" s="403">
        <f t="shared" si="8"/>
        <v>89194.88</v>
      </c>
      <c r="K68" s="436"/>
    </row>
    <row r="69" spans="1:11" s="389" customFormat="1" ht="90">
      <c r="A69" s="458" t="s">
        <v>635</v>
      </c>
      <c r="B69" s="459" t="s">
        <v>490</v>
      </c>
      <c r="C69" s="460" t="s">
        <v>506</v>
      </c>
      <c r="D69" s="461" t="s">
        <v>700</v>
      </c>
      <c r="E69" s="462">
        <v>58</v>
      </c>
      <c r="F69" s="463">
        <f>'MEMÓRIA '!F649</f>
        <v>205.33</v>
      </c>
      <c r="G69" s="402">
        <f t="shared" si="6"/>
        <v>247.05</v>
      </c>
      <c r="H69" s="402">
        <f t="shared" si="7"/>
        <v>11909.14</v>
      </c>
      <c r="I69" s="403">
        <f t="shared" si="8"/>
        <v>14328.9</v>
      </c>
      <c r="K69" s="390"/>
    </row>
    <row r="70" spans="1:11" s="440" customFormat="1" ht="30">
      <c r="A70" s="464"/>
      <c r="B70" s="464"/>
      <c r="C70" s="465"/>
      <c r="D70" s="464"/>
      <c r="E70" s="432"/>
      <c r="F70" s="438"/>
      <c r="G70" s="438" t="s">
        <v>119</v>
      </c>
      <c r="H70" s="439">
        <f>SUM(H44:H69)</f>
        <v>860007.1100000002</v>
      </c>
      <c r="I70" s="439">
        <f>SUM(I44:I69)</f>
        <v>1034781.89</v>
      </c>
      <c r="K70" s="441"/>
    </row>
    <row r="71" spans="1:11" s="468" customFormat="1" ht="30">
      <c r="A71" s="395" t="s">
        <v>23</v>
      </c>
      <c r="B71" s="395"/>
      <c r="C71" s="396" t="s">
        <v>744</v>
      </c>
      <c r="D71" s="395"/>
      <c r="E71" s="437"/>
      <c r="F71" s="397"/>
      <c r="G71" s="397"/>
      <c r="H71" s="397"/>
      <c r="I71" s="397"/>
      <c r="J71" s="466"/>
      <c r="K71" s="467"/>
    </row>
    <row r="72" spans="1:11" s="435" customFormat="1" ht="90">
      <c r="A72" s="411" t="s">
        <v>16</v>
      </c>
      <c r="B72" s="411" t="s">
        <v>343</v>
      </c>
      <c r="C72" s="413" t="s">
        <v>596</v>
      </c>
      <c r="D72" s="411" t="s">
        <v>701</v>
      </c>
      <c r="E72" s="401">
        <v>497.93</v>
      </c>
      <c r="F72" s="407">
        <f>'MEMÓRIA '!F700</f>
        <v>126.56</v>
      </c>
      <c r="G72" s="402">
        <f aca="true" t="shared" si="9" ref="G72:G77">ROUND((F72*1.2032),2)</f>
        <v>152.28</v>
      </c>
      <c r="H72" s="402">
        <f aca="true" t="shared" si="10" ref="H72:H77">ROUND((E72*F72),2)</f>
        <v>63018.02</v>
      </c>
      <c r="I72" s="403">
        <f aca="true" t="shared" si="11" ref="I72:I77">ROUND((E72*G72),2)</f>
        <v>75824.78</v>
      </c>
      <c r="K72" s="436"/>
    </row>
    <row r="73" spans="1:11" s="406" customFormat="1" ht="90">
      <c r="A73" s="411" t="s">
        <v>17</v>
      </c>
      <c r="B73" s="411" t="s">
        <v>904</v>
      </c>
      <c r="C73" s="413" t="s">
        <v>906</v>
      </c>
      <c r="D73" s="411" t="s">
        <v>699</v>
      </c>
      <c r="E73" s="401">
        <v>5049.4</v>
      </c>
      <c r="F73" s="407">
        <f>'MEMÓRIA '!F705</f>
        <v>59.72</v>
      </c>
      <c r="G73" s="402">
        <f t="shared" si="9"/>
        <v>71.86</v>
      </c>
      <c r="H73" s="402">
        <f t="shared" si="10"/>
        <v>301550.17</v>
      </c>
      <c r="I73" s="403">
        <f t="shared" si="11"/>
        <v>362849.88</v>
      </c>
      <c r="K73" s="408"/>
    </row>
    <row r="74" spans="1:11" s="406" customFormat="1" ht="120">
      <c r="A74" s="411" t="s">
        <v>43</v>
      </c>
      <c r="B74" s="412" t="s">
        <v>480</v>
      </c>
      <c r="C74" s="413" t="s">
        <v>96</v>
      </c>
      <c r="D74" s="411" t="s">
        <v>699</v>
      </c>
      <c r="E74" s="401">
        <v>4038.28</v>
      </c>
      <c r="F74" s="407">
        <f>'MEMÓRIA '!F716</f>
        <v>56.07</v>
      </c>
      <c r="G74" s="402">
        <f t="shared" si="9"/>
        <v>67.46</v>
      </c>
      <c r="H74" s="402">
        <f t="shared" si="10"/>
        <v>226426.36</v>
      </c>
      <c r="I74" s="403">
        <f t="shared" si="11"/>
        <v>272422.37</v>
      </c>
      <c r="K74" s="408"/>
    </row>
    <row r="75" spans="1:11" s="406" customFormat="1" ht="90">
      <c r="A75" s="411" t="s">
        <v>61</v>
      </c>
      <c r="B75" s="411" t="s">
        <v>152</v>
      </c>
      <c r="C75" s="413" t="s">
        <v>750</v>
      </c>
      <c r="D75" s="411" t="s">
        <v>699</v>
      </c>
      <c r="E75" s="401">
        <v>862</v>
      </c>
      <c r="F75" s="407">
        <f>'MEMÓRIA '!F727</f>
        <v>207.27</v>
      </c>
      <c r="G75" s="402">
        <f t="shared" si="9"/>
        <v>249.39</v>
      </c>
      <c r="H75" s="402">
        <f t="shared" si="10"/>
        <v>178666.74</v>
      </c>
      <c r="I75" s="403">
        <f t="shared" si="11"/>
        <v>214974.18</v>
      </c>
      <c r="K75" s="408"/>
    </row>
    <row r="76" spans="1:11" s="406" customFormat="1" ht="90">
      <c r="A76" s="411" t="s">
        <v>62</v>
      </c>
      <c r="B76" s="412" t="s">
        <v>157</v>
      </c>
      <c r="C76" s="413" t="s">
        <v>751</v>
      </c>
      <c r="D76" s="411" t="s">
        <v>699</v>
      </c>
      <c r="E76" s="401">
        <v>149.12</v>
      </c>
      <c r="F76" s="407">
        <f>'MEMÓRIA '!F737</f>
        <v>207.27</v>
      </c>
      <c r="G76" s="402">
        <f t="shared" si="9"/>
        <v>249.39</v>
      </c>
      <c r="H76" s="402">
        <f t="shared" si="10"/>
        <v>30908.1</v>
      </c>
      <c r="I76" s="403">
        <f t="shared" si="11"/>
        <v>37189.04</v>
      </c>
      <c r="K76" s="408"/>
    </row>
    <row r="77" spans="1:11" s="435" customFormat="1" ht="90">
      <c r="A77" s="411" t="s">
        <v>63</v>
      </c>
      <c r="B77" s="412" t="s">
        <v>373</v>
      </c>
      <c r="C77" s="413" t="s">
        <v>99</v>
      </c>
      <c r="D77" s="411" t="s">
        <v>699</v>
      </c>
      <c r="E77" s="401">
        <v>222.58</v>
      </c>
      <c r="F77" s="407">
        <f>'MEMÓRIA '!F747</f>
        <v>24.84</v>
      </c>
      <c r="G77" s="402">
        <f t="shared" si="9"/>
        <v>29.89</v>
      </c>
      <c r="H77" s="402">
        <f t="shared" si="10"/>
        <v>5528.89</v>
      </c>
      <c r="I77" s="403">
        <f t="shared" si="11"/>
        <v>6652.92</v>
      </c>
      <c r="K77" s="436"/>
    </row>
    <row r="78" spans="1:11" s="440" customFormat="1" ht="30">
      <c r="A78" s="395"/>
      <c r="B78" s="395"/>
      <c r="C78" s="396"/>
      <c r="D78" s="395"/>
      <c r="E78" s="437"/>
      <c r="F78" s="438"/>
      <c r="G78" s="438" t="s">
        <v>120</v>
      </c>
      <c r="H78" s="439">
        <f>SUM(H72:H77)</f>
        <v>806098.28</v>
      </c>
      <c r="I78" s="439">
        <f>SUM(I72:I77)</f>
        <v>969913.17</v>
      </c>
      <c r="K78" s="441"/>
    </row>
    <row r="79" spans="1:11" s="440" customFormat="1" ht="30">
      <c r="A79" s="469" t="s">
        <v>24</v>
      </c>
      <c r="B79" s="430"/>
      <c r="C79" s="470" t="s">
        <v>745</v>
      </c>
      <c r="D79" s="471"/>
      <c r="E79" s="472"/>
      <c r="F79" s="473"/>
      <c r="G79" s="473"/>
      <c r="H79" s="473"/>
      <c r="I79" s="398"/>
      <c r="K79" s="441"/>
    </row>
    <row r="80" spans="1:11" s="435" customFormat="1" ht="150">
      <c r="A80" s="399" t="s">
        <v>37</v>
      </c>
      <c r="B80" s="474" t="s">
        <v>381</v>
      </c>
      <c r="C80" s="416" t="s">
        <v>567</v>
      </c>
      <c r="D80" s="414" t="s">
        <v>699</v>
      </c>
      <c r="E80" s="401">
        <v>71.55</v>
      </c>
      <c r="F80" s="407">
        <f>'MEMÓRIA '!F758</f>
        <v>435.47</v>
      </c>
      <c r="G80" s="402">
        <f>ROUND((F80*1.2032),2)</f>
        <v>523.96</v>
      </c>
      <c r="H80" s="402">
        <f>ROUND((E80*F80),2)</f>
        <v>31157.88</v>
      </c>
      <c r="I80" s="403">
        <f>ROUND((E80*G80),2)</f>
        <v>37489.34</v>
      </c>
      <c r="K80" s="436"/>
    </row>
    <row r="81" spans="1:11" s="435" customFormat="1" ht="120">
      <c r="A81" s="399" t="s">
        <v>35</v>
      </c>
      <c r="B81" s="474" t="s">
        <v>110</v>
      </c>
      <c r="C81" s="416" t="s">
        <v>568</v>
      </c>
      <c r="D81" s="414" t="s">
        <v>704</v>
      </c>
      <c r="E81" s="401">
        <v>92</v>
      </c>
      <c r="F81" s="407">
        <f>'MEMÓRIA '!F767</f>
        <v>362.43</v>
      </c>
      <c r="G81" s="402">
        <f>ROUND((F81*1.2032),2)</f>
        <v>436.08</v>
      </c>
      <c r="H81" s="402">
        <f>ROUND((E81*F81),2)</f>
        <v>33343.56</v>
      </c>
      <c r="I81" s="403">
        <f>ROUND((E81*G81),2)</f>
        <v>40119.36</v>
      </c>
      <c r="K81" s="436"/>
    </row>
    <row r="82" spans="1:11" s="435" customFormat="1" ht="120">
      <c r="A82" s="399" t="s">
        <v>36</v>
      </c>
      <c r="B82" s="411" t="s">
        <v>110</v>
      </c>
      <c r="C82" s="400" t="s">
        <v>569</v>
      </c>
      <c r="D82" s="399" t="s">
        <v>704</v>
      </c>
      <c r="E82" s="401">
        <v>19</v>
      </c>
      <c r="F82" s="407">
        <f>'MEMÓRIA '!F774</f>
        <v>429.2</v>
      </c>
      <c r="G82" s="402">
        <f>ROUND((F82*1.2032),2)</f>
        <v>516.41</v>
      </c>
      <c r="H82" s="402">
        <f>ROUND((E82*F82),2)</f>
        <v>8154.8</v>
      </c>
      <c r="I82" s="403">
        <f>ROUND((E82*G82),2)</f>
        <v>9811.79</v>
      </c>
      <c r="K82" s="436"/>
    </row>
    <row r="83" spans="1:11" s="406" customFormat="1" ht="60">
      <c r="A83" s="399" t="s">
        <v>38</v>
      </c>
      <c r="B83" s="420" t="s">
        <v>400</v>
      </c>
      <c r="C83" s="421" t="s">
        <v>570</v>
      </c>
      <c r="D83" s="443" t="s">
        <v>699</v>
      </c>
      <c r="E83" s="401">
        <v>962.97</v>
      </c>
      <c r="F83" s="407">
        <f>'MEMÓRIA '!F781</f>
        <v>14.78</v>
      </c>
      <c r="G83" s="402">
        <f>ROUND((F83*1.2032),2)</f>
        <v>17.78</v>
      </c>
      <c r="H83" s="402">
        <f>ROUND((E83*F83),2)</f>
        <v>14232.7</v>
      </c>
      <c r="I83" s="403">
        <f>ROUND((E83*G83),2)</f>
        <v>17121.61</v>
      </c>
      <c r="K83" s="408"/>
    </row>
    <row r="84" spans="1:11" s="406" customFormat="1" ht="90">
      <c r="A84" s="399" t="s">
        <v>39</v>
      </c>
      <c r="B84" s="454" t="s">
        <v>406</v>
      </c>
      <c r="C84" s="475" t="s">
        <v>571</v>
      </c>
      <c r="D84" s="414" t="s">
        <v>699</v>
      </c>
      <c r="E84" s="401">
        <v>1448.42</v>
      </c>
      <c r="F84" s="407">
        <f>'MEMÓRIA '!F792</f>
        <v>35.6</v>
      </c>
      <c r="G84" s="402">
        <f>ROUND((F84*1.2032),2)</f>
        <v>42.83</v>
      </c>
      <c r="H84" s="402">
        <f>ROUND((E84*F84),2)</f>
        <v>51563.75</v>
      </c>
      <c r="I84" s="403">
        <f>ROUND((E84*G84),2)</f>
        <v>62035.83</v>
      </c>
      <c r="K84" s="408"/>
    </row>
    <row r="85" spans="1:11" s="440" customFormat="1" ht="30">
      <c r="A85" s="395"/>
      <c r="B85" s="395"/>
      <c r="C85" s="396"/>
      <c r="D85" s="395"/>
      <c r="E85" s="437"/>
      <c r="F85" s="438"/>
      <c r="G85" s="438" t="s">
        <v>121</v>
      </c>
      <c r="H85" s="439">
        <f>H80+H81+H82+H83+H84</f>
        <v>138452.69</v>
      </c>
      <c r="I85" s="439">
        <f>I80+I81+I82+I83+I84</f>
        <v>166577.93</v>
      </c>
      <c r="K85" s="441"/>
    </row>
    <row r="86" spans="1:11" s="440" customFormat="1" ht="30">
      <c r="A86" s="469" t="s">
        <v>25</v>
      </c>
      <c r="B86" s="430"/>
      <c r="C86" s="470" t="s">
        <v>746</v>
      </c>
      <c r="D86" s="471"/>
      <c r="E86" s="472"/>
      <c r="F86" s="473"/>
      <c r="G86" s="473"/>
      <c r="H86" s="473"/>
      <c r="I86" s="398"/>
      <c r="K86" s="441"/>
    </row>
    <row r="87" spans="1:11" s="419" customFormat="1" ht="150">
      <c r="A87" s="411" t="s">
        <v>40</v>
      </c>
      <c r="B87" s="411" t="s">
        <v>482</v>
      </c>
      <c r="C87" s="413" t="s">
        <v>739</v>
      </c>
      <c r="D87" s="411" t="s">
        <v>702</v>
      </c>
      <c r="E87" s="409">
        <v>246.67</v>
      </c>
      <c r="F87" s="448">
        <f>'MEMÓRIA '!F805</f>
        <v>74.74</v>
      </c>
      <c r="G87" s="402">
        <f aca="true" t="shared" si="12" ref="G87:G93">ROUND((F87*1.2032),2)</f>
        <v>89.93</v>
      </c>
      <c r="H87" s="402">
        <f aca="true" t="shared" si="13" ref="H87:H93">ROUND((E87*F87),2)</f>
        <v>18436.12</v>
      </c>
      <c r="I87" s="403">
        <f aca="true" t="shared" si="14" ref="I87:I93">ROUND((E87*G87),2)</f>
        <v>22183.03</v>
      </c>
      <c r="K87" s="453"/>
    </row>
    <row r="88" spans="1:11" s="419" customFormat="1" ht="150">
      <c r="A88" s="411" t="s">
        <v>41</v>
      </c>
      <c r="B88" s="411" t="s">
        <v>488</v>
      </c>
      <c r="C88" s="413" t="s">
        <v>740</v>
      </c>
      <c r="D88" s="411" t="s">
        <v>705</v>
      </c>
      <c r="E88" s="409">
        <v>1529.36</v>
      </c>
      <c r="F88" s="448">
        <f>'MEMÓRIA '!F811</f>
        <v>1.03</v>
      </c>
      <c r="G88" s="402">
        <f t="shared" si="12"/>
        <v>1.24</v>
      </c>
      <c r="H88" s="402">
        <f t="shared" si="13"/>
        <v>1575.24</v>
      </c>
      <c r="I88" s="403">
        <f t="shared" si="14"/>
        <v>1896.41</v>
      </c>
      <c r="K88" s="453"/>
    </row>
    <row r="89" spans="1:11" s="419" customFormat="1" ht="60">
      <c r="A89" s="411" t="s">
        <v>42</v>
      </c>
      <c r="B89" s="411" t="s">
        <v>898</v>
      </c>
      <c r="C89" s="413" t="s">
        <v>899</v>
      </c>
      <c r="D89" s="411" t="s">
        <v>701</v>
      </c>
      <c r="E89" s="409">
        <v>3747.44</v>
      </c>
      <c r="F89" s="448">
        <f>'MEMÓRIA '!F815</f>
        <v>9.43</v>
      </c>
      <c r="G89" s="402">
        <f t="shared" si="12"/>
        <v>11.35</v>
      </c>
      <c r="H89" s="402">
        <f t="shared" si="13"/>
        <v>35338.36</v>
      </c>
      <c r="I89" s="403">
        <f t="shared" si="14"/>
        <v>42533.44</v>
      </c>
      <c r="K89" s="453"/>
    </row>
    <row r="90" spans="1:11" s="404" customFormat="1" ht="90">
      <c r="A90" s="411" t="s">
        <v>103</v>
      </c>
      <c r="B90" s="411" t="s">
        <v>275</v>
      </c>
      <c r="C90" s="413" t="s">
        <v>721</v>
      </c>
      <c r="D90" s="411" t="s">
        <v>702</v>
      </c>
      <c r="E90" s="409">
        <v>11451.76</v>
      </c>
      <c r="F90" s="448">
        <f>'MEMÓRIA '!F821</f>
        <v>7.08</v>
      </c>
      <c r="G90" s="402">
        <f t="shared" si="12"/>
        <v>8.52</v>
      </c>
      <c r="H90" s="402">
        <f t="shared" si="13"/>
        <v>81078.46</v>
      </c>
      <c r="I90" s="403">
        <f t="shared" si="14"/>
        <v>97569</v>
      </c>
      <c r="J90" s="476"/>
      <c r="K90" s="477"/>
    </row>
    <row r="91" spans="1:11" s="419" customFormat="1" ht="90">
      <c r="A91" s="411" t="s">
        <v>105</v>
      </c>
      <c r="B91" s="411" t="s">
        <v>408</v>
      </c>
      <c r="C91" s="413" t="s">
        <v>722</v>
      </c>
      <c r="D91" s="411" t="s">
        <v>706</v>
      </c>
      <c r="E91" s="409">
        <v>95431.36</v>
      </c>
      <c r="F91" s="448">
        <f>'MEMÓRIA '!F826</f>
        <v>1.08</v>
      </c>
      <c r="G91" s="402">
        <f t="shared" si="12"/>
        <v>1.3</v>
      </c>
      <c r="H91" s="402">
        <f t="shared" si="13"/>
        <v>103065.87</v>
      </c>
      <c r="I91" s="403">
        <f t="shared" si="14"/>
        <v>124060.77</v>
      </c>
      <c r="J91" s="404"/>
      <c r="K91" s="453"/>
    </row>
    <row r="92" spans="1:11" s="404" customFormat="1" ht="120">
      <c r="A92" s="411" t="s">
        <v>106</v>
      </c>
      <c r="B92" s="411" t="s">
        <v>481</v>
      </c>
      <c r="C92" s="413" t="s">
        <v>741</v>
      </c>
      <c r="D92" s="411" t="s">
        <v>701</v>
      </c>
      <c r="E92" s="409">
        <v>6362.1</v>
      </c>
      <c r="F92" s="448">
        <f>'MEMÓRIA '!F831</f>
        <v>54</v>
      </c>
      <c r="G92" s="402">
        <f t="shared" si="12"/>
        <v>64.97</v>
      </c>
      <c r="H92" s="402">
        <f t="shared" si="13"/>
        <v>343553.4</v>
      </c>
      <c r="I92" s="403">
        <f t="shared" si="14"/>
        <v>413345.64</v>
      </c>
      <c r="J92" s="476"/>
      <c r="K92" s="477"/>
    </row>
    <row r="93" spans="1:11" s="404" customFormat="1" ht="120">
      <c r="A93" s="411" t="s">
        <v>104</v>
      </c>
      <c r="B93" s="411" t="s">
        <v>620</v>
      </c>
      <c r="C93" s="413" t="s">
        <v>723</v>
      </c>
      <c r="D93" s="411" t="s">
        <v>700</v>
      </c>
      <c r="E93" s="409">
        <v>130</v>
      </c>
      <c r="F93" s="448">
        <f>'MEMÓRIA '!F835</f>
        <v>218.93</v>
      </c>
      <c r="G93" s="402">
        <f t="shared" si="12"/>
        <v>263.42</v>
      </c>
      <c r="H93" s="402">
        <f t="shared" si="13"/>
        <v>28460.9</v>
      </c>
      <c r="I93" s="403">
        <f t="shared" si="14"/>
        <v>34244.6</v>
      </c>
      <c r="J93" s="476"/>
      <c r="K93" s="477"/>
    </row>
    <row r="94" spans="1:11" s="375" customFormat="1" ht="30">
      <c r="A94" s="478"/>
      <c r="B94" s="479"/>
      <c r="C94" s="480"/>
      <c r="D94" s="478"/>
      <c r="E94" s="481"/>
      <c r="F94" s="482"/>
      <c r="G94" s="483" t="s">
        <v>122</v>
      </c>
      <c r="H94" s="439">
        <f>SUM(H87:H93)</f>
        <v>611508.35</v>
      </c>
      <c r="I94" s="439">
        <f>SUM(I87:I93)</f>
        <v>735832.89</v>
      </c>
      <c r="K94" s="484"/>
    </row>
    <row r="95" spans="1:11" s="440" customFormat="1" ht="30">
      <c r="A95" s="469" t="s">
        <v>678</v>
      </c>
      <c r="B95" s="430"/>
      <c r="C95" s="470" t="s">
        <v>679</v>
      </c>
      <c r="D95" s="471"/>
      <c r="E95" s="472"/>
      <c r="F95" s="473"/>
      <c r="G95" s="473"/>
      <c r="H95" s="473"/>
      <c r="I95" s="398"/>
      <c r="K95" s="441"/>
    </row>
    <row r="96" spans="1:11" s="419" customFormat="1" ht="90">
      <c r="A96" s="411" t="s">
        <v>680</v>
      </c>
      <c r="B96" s="411" t="s">
        <v>688</v>
      </c>
      <c r="C96" s="413" t="s">
        <v>742</v>
      </c>
      <c r="D96" s="411" t="s">
        <v>699</v>
      </c>
      <c r="E96" s="409">
        <v>31557.36</v>
      </c>
      <c r="F96" s="485">
        <f>'MEMÓRIA '!F842</f>
        <v>0.35</v>
      </c>
      <c r="G96" s="402">
        <f>ROUND((F96*1.2032),2)</f>
        <v>0.42</v>
      </c>
      <c r="H96" s="402">
        <f>ROUND((E96*F96),2)</f>
        <v>11045.08</v>
      </c>
      <c r="I96" s="403">
        <f>ROUND((E96*G96),2)</f>
        <v>13254.09</v>
      </c>
      <c r="K96" s="453"/>
    </row>
    <row r="97" spans="1:11" s="419" customFormat="1" ht="30">
      <c r="A97" s="411" t="s">
        <v>681</v>
      </c>
      <c r="B97" s="411" t="s">
        <v>696</v>
      </c>
      <c r="C97" s="413" t="s">
        <v>724</v>
      </c>
      <c r="D97" s="411" t="s">
        <v>188</v>
      </c>
      <c r="E97" s="409">
        <v>31557.36</v>
      </c>
      <c r="F97" s="486">
        <v>0.02</v>
      </c>
      <c r="G97" s="402">
        <f>ROUND((F97*1.2032),2)</f>
        <v>0.02</v>
      </c>
      <c r="H97" s="402">
        <f>ROUND((E97*F97),2)</f>
        <v>631.15</v>
      </c>
      <c r="I97" s="403">
        <f>ROUND((E97*G97),2)</f>
        <v>631.15</v>
      </c>
      <c r="K97" s="453"/>
    </row>
    <row r="98" spans="1:11" s="375" customFormat="1" ht="30">
      <c r="A98" s="478"/>
      <c r="B98" s="479"/>
      <c r="C98" s="478"/>
      <c r="D98" s="478"/>
      <c r="E98" s="481"/>
      <c r="F98" s="481"/>
      <c r="G98" s="487" t="s">
        <v>682</v>
      </c>
      <c r="H98" s="439">
        <f>SUM(H97:H97)</f>
        <v>631.15</v>
      </c>
      <c r="I98" s="439">
        <f>SUM(I96:I97)</f>
        <v>13885.24</v>
      </c>
      <c r="K98" s="484"/>
    </row>
    <row r="99" spans="1:11" s="375" customFormat="1" ht="30">
      <c r="A99" s="488"/>
      <c r="B99" s="489"/>
      <c r="C99" s="488"/>
      <c r="D99" s="490"/>
      <c r="E99" s="481"/>
      <c r="F99" s="481"/>
      <c r="G99" s="487" t="s">
        <v>123</v>
      </c>
      <c r="H99" s="439">
        <f>H27+H31+H42+H70+H78+H85+H94+H98</f>
        <v>4854578.410000001</v>
      </c>
      <c r="I99" s="439">
        <f>I27+I31+I42+I70+I78+I85+I94+I98</f>
        <v>5853267.07</v>
      </c>
      <c r="K99" s="484"/>
    </row>
  </sheetData>
  <sheetProtection/>
  <mergeCells count="13">
    <mergeCell ref="A9:I9"/>
    <mergeCell ref="F3:I3"/>
    <mergeCell ref="F4:I4"/>
    <mergeCell ref="F5:I5"/>
    <mergeCell ref="F6:I6"/>
    <mergeCell ref="F7:I7"/>
    <mergeCell ref="F8:I8"/>
    <mergeCell ref="A10:A11"/>
    <mergeCell ref="B10:B11"/>
    <mergeCell ref="C10:C11"/>
    <mergeCell ref="D10:D11"/>
    <mergeCell ref="F10:I10"/>
    <mergeCell ref="E10:E11"/>
  </mergeCells>
  <printOptions/>
  <pageMargins left="0.984251968503937" right="0.7874015748031497" top="0.7874015748031497" bottom="0.7874015748031497" header="0.31496062992125984" footer="0.31496062992125984"/>
  <pageSetup fitToHeight="1000" fitToWidth="1" horizontalDpi="300" verticalDpi="300" orientation="landscape" paperSize="9" scale="31" r:id="rId2"/>
  <headerFooter>
    <oddFooter>&amp;C&amp;20&amp;A&amp;R&amp;20Página &amp;P de &amp;N</oddFooter>
  </headerFooter>
  <drawing r:id="rId1"/>
</worksheet>
</file>

<file path=xl/worksheets/sheet4.xml><?xml version="1.0" encoding="utf-8"?>
<worksheet xmlns="http://schemas.openxmlformats.org/spreadsheetml/2006/main" xmlns:r="http://schemas.openxmlformats.org/officeDocument/2006/relationships">
  <dimension ref="A1:AG28"/>
  <sheetViews>
    <sheetView showZeros="0" tabSelected="1" view="pageBreakPreview" zoomScale="40" zoomScaleNormal="70" zoomScaleSheetLayoutView="40" zoomScalePageLayoutView="0" workbookViewId="0" topLeftCell="R1">
      <selection activeCell="O14" sqref="O14:O21"/>
    </sheetView>
  </sheetViews>
  <sheetFormatPr defaultColWidth="8.8515625" defaultRowHeight="15"/>
  <cols>
    <col min="1" max="1" width="13.421875" style="304" bestFit="1" customWidth="1"/>
    <col min="2" max="2" width="78.28125" style="304" bestFit="1" customWidth="1"/>
    <col min="3" max="3" width="18.421875" style="304" bestFit="1" customWidth="1"/>
    <col min="4" max="4" width="32.00390625" style="304" bestFit="1" customWidth="1"/>
    <col min="5" max="5" width="18.57421875" style="304" customWidth="1"/>
    <col min="6" max="6" width="32.00390625" style="304" bestFit="1" customWidth="1"/>
    <col min="7" max="7" width="18.421875" style="304" bestFit="1" customWidth="1"/>
    <col min="8" max="8" width="32.00390625" style="304" bestFit="1" customWidth="1"/>
    <col min="9" max="9" width="18.421875" style="304" bestFit="1" customWidth="1"/>
    <col min="10" max="10" width="32.00390625" style="304" bestFit="1" customWidth="1"/>
    <col min="11" max="11" width="18.421875" style="304" bestFit="1" customWidth="1"/>
    <col min="12" max="12" width="32.00390625" style="304" bestFit="1" customWidth="1"/>
    <col min="13" max="13" width="18.421875" style="304" bestFit="1" customWidth="1"/>
    <col min="14" max="14" width="32.00390625" style="304" bestFit="1" customWidth="1"/>
    <col min="15" max="15" width="32.00390625" style="304" customWidth="1"/>
    <col min="16" max="16" width="13.421875" style="304" bestFit="1" customWidth="1"/>
    <col min="17" max="17" width="78.28125" style="304" bestFit="1" customWidth="1"/>
    <col min="18" max="18" width="18.421875" style="304" bestFit="1" customWidth="1"/>
    <col min="19" max="19" width="32.00390625" style="304" bestFit="1" customWidth="1"/>
    <col min="20" max="20" width="18.421875" style="304" bestFit="1" customWidth="1"/>
    <col min="21" max="21" width="32.00390625" style="304" bestFit="1" customWidth="1"/>
    <col min="22" max="22" width="18.421875" style="304" bestFit="1" customWidth="1"/>
    <col min="23" max="23" width="32.00390625" style="304" bestFit="1" customWidth="1"/>
    <col min="24" max="24" width="18.421875" style="304" bestFit="1" customWidth="1"/>
    <col min="25" max="25" width="32.00390625" style="304" bestFit="1" customWidth="1"/>
    <col min="26" max="26" width="18.421875" style="304" bestFit="1" customWidth="1"/>
    <col min="27" max="27" width="32.00390625" style="304" bestFit="1" customWidth="1"/>
    <col min="28" max="28" width="18.421875" style="304" bestFit="1" customWidth="1"/>
    <col min="29" max="29" width="32.00390625" style="304" bestFit="1" customWidth="1"/>
    <col min="30" max="30" width="33.140625" style="304" customWidth="1"/>
    <col min="31" max="31" width="30.57421875" style="301" bestFit="1" customWidth="1"/>
    <col min="32" max="32" width="25.57421875" style="300" customWidth="1"/>
    <col min="33" max="33" width="17.421875" style="305" customWidth="1"/>
    <col min="34" max="16384" width="8.8515625" style="301" customWidth="1"/>
  </cols>
  <sheetData>
    <row r="1" spans="1:31" ht="77.25" customHeight="1">
      <c r="A1" s="586" t="s">
        <v>26</v>
      </c>
      <c r="B1" s="587"/>
      <c r="C1" s="587"/>
      <c r="D1" s="587"/>
      <c r="E1" s="587"/>
      <c r="F1" s="587"/>
      <c r="G1" s="587"/>
      <c r="H1" s="310"/>
      <c r="I1" s="310"/>
      <c r="J1" s="310"/>
      <c r="K1" s="310"/>
      <c r="L1" s="310"/>
      <c r="M1" s="310"/>
      <c r="N1" s="310"/>
      <c r="O1" s="310"/>
      <c r="P1" s="586" t="s">
        <v>26</v>
      </c>
      <c r="Q1" s="587"/>
      <c r="R1" s="587"/>
      <c r="S1" s="587"/>
      <c r="T1" s="587"/>
      <c r="U1" s="587"/>
      <c r="V1" s="587"/>
      <c r="W1" s="310"/>
      <c r="X1" s="310"/>
      <c r="Y1" s="310"/>
      <c r="Z1" s="310"/>
      <c r="AA1" s="310"/>
      <c r="AB1" s="310"/>
      <c r="AC1" s="310"/>
      <c r="AD1" s="311"/>
      <c r="AE1" s="312"/>
    </row>
    <row r="2" spans="1:31" ht="77.25" customHeight="1">
      <c r="A2" s="564" t="s">
        <v>27</v>
      </c>
      <c r="B2" s="565"/>
      <c r="C2" s="565"/>
      <c r="D2" s="565"/>
      <c r="E2" s="565"/>
      <c r="F2" s="565"/>
      <c r="G2" s="565"/>
      <c r="H2" s="313"/>
      <c r="I2" s="313"/>
      <c r="J2" s="313"/>
      <c r="K2" s="313"/>
      <c r="L2" s="313"/>
      <c r="M2" s="313"/>
      <c r="N2" s="313"/>
      <c r="O2" s="313"/>
      <c r="P2" s="564" t="s">
        <v>27</v>
      </c>
      <c r="Q2" s="565"/>
      <c r="R2" s="565"/>
      <c r="S2" s="565"/>
      <c r="T2" s="565"/>
      <c r="U2" s="565"/>
      <c r="V2" s="565"/>
      <c r="W2" s="313"/>
      <c r="X2" s="313"/>
      <c r="Y2" s="313"/>
      <c r="Z2" s="313"/>
      <c r="AA2" s="313"/>
      <c r="AB2" s="313"/>
      <c r="AC2" s="313"/>
      <c r="AD2" s="314"/>
      <c r="AE2" s="312"/>
    </row>
    <row r="3" spans="1:31" ht="77.25" customHeight="1">
      <c r="A3" s="564" t="s">
        <v>780</v>
      </c>
      <c r="B3" s="565"/>
      <c r="C3" s="565"/>
      <c r="D3" s="565"/>
      <c r="E3" s="565"/>
      <c r="F3" s="565"/>
      <c r="G3" s="565"/>
      <c r="H3" s="313"/>
      <c r="I3" s="313"/>
      <c r="J3" s="313"/>
      <c r="K3" s="313"/>
      <c r="L3" s="313"/>
      <c r="M3" s="313"/>
      <c r="N3" s="313"/>
      <c r="O3" s="313"/>
      <c r="P3" s="564" t="s">
        <v>780</v>
      </c>
      <c r="Q3" s="565"/>
      <c r="R3" s="565"/>
      <c r="S3" s="565"/>
      <c r="T3" s="565"/>
      <c r="U3" s="565"/>
      <c r="V3" s="565"/>
      <c r="W3" s="313"/>
      <c r="X3" s="313"/>
      <c r="Y3" s="313"/>
      <c r="Z3" s="313"/>
      <c r="AA3" s="313"/>
      <c r="AB3" s="313"/>
      <c r="AC3" s="313"/>
      <c r="AD3" s="314"/>
      <c r="AE3" s="312"/>
    </row>
    <row r="4" spans="1:31" ht="77.25" customHeight="1">
      <c r="A4" s="566" t="s">
        <v>45</v>
      </c>
      <c r="B4" s="567"/>
      <c r="C4" s="567"/>
      <c r="D4" s="567"/>
      <c r="E4" s="567"/>
      <c r="F4" s="567"/>
      <c r="G4" s="567"/>
      <c r="H4" s="315"/>
      <c r="I4" s="315"/>
      <c r="J4" s="315"/>
      <c r="K4" s="315"/>
      <c r="L4" s="315"/>
      <c r="M4" s="315"/>
      <c r="N4" s="315"/>
      <c r="O4" s="315"/>
      <c r="P4" s="566" t="s">
        <v>45</v>
      </c>
      <c r="Q4" s="567"/>
      <c r="R4" s="567"/>
      <c r="S4" s="567"/>
      <c r="T4" s="567"/>
      <c r="U4" s="567"/>
      <c r="V4" s="567"/>
      <c r="W4" s="315"/>
      <c r="X4" s="315"/>
      <c r="Y4" s="315"/>
      <c r="Z4" s="315"/>
      <c r="AA4" s="315"/>
      <c r="AB4" s="315"/>
      <c r="AC4" s="315"/>
      <c r="AD4" s="314"/>
      <c r="AE4" s="312"/>
    </row>
    <row r="5" spans="1:31" ht="77.25" customHeight="1">
      <c r="A5" s="568" t="s">
        <v>44</v>
      </c>
      <c r="B5" s="569"/>
      <c r="C5" s="569"/>
      <c r="D5" s="569"/>
      <c r="E5" s="569"/>
      <c r="F5" s="569"/>
      <c r="G5" s="569"/>
      <c r="H5" s="316"/>
      <c r="I5" s="316"/>
      <c r="J5" s="316"/>
      <c r="K5" s="316"/>
      <c r="L5" s="316"/>
      <c r="M5" s="316"/>
      <c r="N5" s="316"/>
      <c r="O5" s="316"/>
      <c r="P5" s="568" t="s">
        <v>44</v>
      </c>
      <c r="Q5" s="569"/>
      <c r="R5" s="569"/>
      <c r="S5" s="569"/>
      <c r="T5" s="569"/>
      <c r="U5" s="569"/>
      <c r="V5" s="569"/>
      <c r="W5" s="316"/>
      <c r="X5" s="316"/>
      <c r="Y5" s="316"/>
      <c r="Z5" s="316"/>
      <c r="AA5" s="316"/>
      <c r="AB5" s="316"/>
      <c r="AC5" s="316"/>
      <c r="AD5" s="314"/>
      <c r="AE5" s="312"/>
    </row>
    <row r="6" spans="1:31" ht="77.25" customHeight="1">
      <c r="A6" s="570" t="s">
        <v>753</v>
      </c>
      <c r="B6" s="571"/>
      <c r="C6" s="571"/>
      <c r="D6" s="571"/>
      <c r="E6" s="571"/>
      <c r="F6" s="571"/>
      <c r="G6" s="571"/>
      <c r="H6" s="317"/>
      <c r="I6" s="317"/>
      <c r="J6" s="317"/>
      <c r="K6" s="317"/>
      <c r="L6" s="317"/>
      <c r="M6" s="317"/>
      <c r="N6" s="317"/>
      <c r="O6" s="317"/>
      <c r="P6" s="570" t="s">
        <v>753</v>
      </c>
      <c r="Q6" s="571"/>
      <c r="R6" s="571"/>
      <c r="S6" s="571"/>
      <c r="T6" s="571"/>
      <c r="U6" s="571"/>
      <c r="V6" s="571"/>
      <c r="W6" s="317"/>
      <c r="X6" s="317"/>
      <c r="Y6" s="317"/>
      <c r="Z6" s="317"/>
      <c r="AA6" s="317"/>
      <c r="AB6" s="317"/>
      <c r="AC6" s="317"/>
      <c r="AD6" s="314"/>
      <c r="AE6" s="312"/>
    </row>
    <row r="7" spans="1:31" ht="77.25" customHeight="1">
      <c r="A7" s="572" t="s">
        <v>779</v>
      </c>
      <c r="B7" s="573"/>
      <c r="C7" s="573"/>
      <c r="D7" s="573"/>
      <c r="E7" s="573"/>
      <c r="F7" s="573"/>
      <c r="G7" s="573"/>
      <c r="H7" s="318"/>
      <c r="I7" s="318"/>
      <c r="J7" s="318"/>
      <c r="K7" s="318"/>
      <c r="L7" s="318"/>
      <c r="M7" s="318"/>
      <c r="N7" s="318"/>
      <c r="O7" s="318"/>
      <c r="P7" s="572" t="s">
        <v>779</v>
      </c>
      <c r="Q7" s="573"/>
      <c r="R7" s="573"/>
      <c r="S7" s="573"/>
      <c r="T7" s="573"/>
      <c r="U7" s="573"/>
      <c r="V7" s="573"/>
      <c r="W7" s="318"/>
      <c r="X7" s="318"/>
      <c r="Y7" s="318"/>
      <c r="Z7" s="318"/>
      <c r="AA7" s="318"/>
      <c r="AB7" s="318"/>
      <c r="AC7" s="318"/>
      <c r="AD7" s="314"/>
      <c r="AE7" s="312"/>
    </row>
    <row r="8" spans="1:31" ht="77.25" customHeight="1">
      <c r="A8" s="574" t="s">
        <v>206</v>
      </c>
      <c r="B8" s="575"/>
      <c r="C8" s="575"/>
      <c r="D8" s="575"/>
      <c r="E8" s="575"/>
      <c r="F8" s="575"/>
      <c r="G8" s="575"/>
      <c r="H8" s="319"/>
      <c r="I8" s="319"/>
      <c r="J8" s="319"/>
      <c r="K8" s="319"/>
      <c r="L8" s="319"/>
      <c r="M8" s="319"/>
      <c r="N8" s="319"/>
      <c r="O8" s="319"/>
      <c r="P8" s="574" t="s">
        <v>206</v>
      </c>
      <c r="Q8" s="575"/>
      <c r="R8" s="575"/>
      <c r="S8" s="575"/>
      <c r="T8" s="575"/>
      <c r="U8" s="575"/>
      <c r="V8" s="575"/>
      <c r="W8" s="319"/>
      <c r="X8" s="319"/>
      <c r="Y8" s="319"/>
      <c r="Z8" s="319"/>
      <c r="AA8" s="319"/>
      <c r="AB8" s="319"/>
      <c r="AC8" s="319"/>
      <c r="AD8" s="320"/>
      <c r="AE8" s="312"/>
    </row>
    <row r="9" spans="1:31" ht="77.25" customHeight="1">
      <c r="A9" s="554" t="s">
        <v>754</v>
      </c>
      <c r="B9" s="555"/>
      <c r="C9" s="555"/>
      <c r="D9" s="555"/>
      <c r="E9" s="555"/>
      <c r="F9" s="555"/>
      <c r="G9" s="555"/>
      <c r="H9" s="555"/>
      <c r="I9" s="555"/>
      <c r="J9" s="555"/>
      <c r="K9" s="555"/>
      <c r="L9" s="555"/>
      <c r="M9" s="555"/>
      <c r="N9" s="556"/>
      <c r="O9" s="309"/>
      <c r="P9" s="554" t="s">
        <v>754</v>
      </c>
      <c r="Q9" s="555"/>
      <c r="R9" s="555"/>
      <c r="S9" s="555"/>
      <c r="T9" s="555"/>
      <c r="U9" s="555"/>
      <c r="V9" s="555"/>
      <c r="W9" s="555"/>
      <c r="X9" s="555"/>
      <c r="Y9" s="555"/>
      <c r="Z9" s="555"/>
      <c r="AA9" s="555"/>
      <c r="AB9" s="555"/>
      <c r="AC9" s="556"/>
      <c r="AD9" s="321"/>
      <c r="AE9" s="312"/>
    </row>
    <row r="10" spans="1:33" ht="77.25" customHeight="1">
      <c r="A10" s="559" t="s">
        <v>29</v>
      </c>
      <c r="B10" s="559" t="s">
        <v>755</v>
      </c>
      <c r="C10" s="557" t="s">
        <v>756</v>
      </c>
      <c r="D10" s="558"/>
      <c r="E10" s="558"/>
      <c r="F10" s="558"/>
      <c r="G10" s="558"/>
      <c r="H10" s="558"/>
      <c r="I10" s="558"/>
      <c r="J10" s="558"/>
      <c r="K10" s="558"/>
      <c r="L10" s="558"/>
      <c r="M10" s="558"/>
      <c r="N10" s="558"/>
      <c r="O10" s="354"/>
      <c r="P10" s="559" t="s">
        <v>29</v>
      </c>
      <c r="Q10" s="559" t="s">
        <v>755</v>
      </c>
      <c r="R10" s="557" t="s">
        <v>756</v>
      </c>
      <c r="S10" s="558"/>
      <c r="T10" s="558"/>
      <c r="U10" s="558"/>
      <c r="V10" s="558"/>
      <c r="W10" s="558"/>
      <c r="X10" s="558"/>
      <c r="Y10" s="558"/>
      <c r="Z10" s="558"/>
      <c r="AA10" s="558"/>
      <c r="AB10" s="558"/>
      <c r="AC10" s="558"/>
      <c r="AD10" s="323"/>
      <c r="AE10" s="312"/>
      <c r="AF10" s="302"/>
      <c r="AG10" s="307"/>
    </row>
    <row r="11" spans="1:33" ht="77.25" customHeight="1">
      <c r="A11" s="560"/>
      <c r="B11" s="560"/>
      <c r="C11" s="557" t="s">
        <v>757</v>
      </c>
      <c r="D11" s="562"/>
      <c r="E11" s="557" t="s">
        <v>758</v>
      </c>
      <c r="F11" s="562"/>
      <c r="G11" s="557" t="s">
        <v>759</v>
      </c>
      <c r="H11" s="562"/>
      <c r="I11" s="557" t="s">
        <v>768</v>
      </c>
      <c r="J11" s="562"/>
      <c r="K11" s="557" t="s">
        <v>769</v>
      </c>
      <c r="L11" s="562"/>
      <c r="M11" s="557" t="s">
        <v>770</v>
      </c>
      <c r="N11" s="562"/>
      <c r="O11" s="323" t="s">
        <v>760</v>
      </c>
      <c r="P11" s="560"/>
      <c r="Q11" s="560"/>
      <c r="R11" s="557" t="s">
        <v>771</v>
      </c>
      <c r="S11" s="562"/>
      <c r="T11" s="557" t="s">
        <v>772</v>
      </c>
      <c r="U11" s="562"/>
      <c r="V11" s="557" t="s">
        <v>773</v>
      </c>
      <c r="W11" s="562"/>
      <c r="X11" s="557" t="s">
        <v>774</v>
      </c>
      <c r="Y11" s="562"/>
      <c r="Z11" s="557" t="s">
        <v>775</v>
      </c>
      <c r="AA11" s="562"/>
      <c r="AB11" s="557" t="s">
        <v>776</v>
      </c>
      <c r="AC11" s="562"/>
      <c r="AD11" s="323" t="s">
        <v>760</v>
      </c>
      <c r="AE11" s="312"/>
      <c r="AF11" s="302"/>
      <c r="AG11" s="307"/>
    </row>
    <row r="12" spans="1:31" ht="77.25" customHeight="1">
      <c r="A12" s="561"/>
      <c r="B12" s="561"/>
      <c r="C12" s="349" t="s">
        <v>761</v>
      </c>
      <c r="D12" s="350" t="s">
        <v>762</v>
      </c>
      <c r="E12" s="349" t="s">
        <v>761</v>
      </c>
      <c r="F12" s="350" t="s">
        <v>762</v>
      </c>
      <c r="G12" s="349" t="s">
        <v>761</v>
      </c>
      <c r="H12" s="350" t="s">
        <v>762</v>
      </c>
      <c r="I12" s="349" t="s">
        <v>761</v>
      </c>
      <c r="J12" s="350" t="s">
        <v>762</v>
      </c>
      <c r="K12" s="349" t="s">
        <v>761</v>
      </c>
      <c r="L12" s="350" t="s">
        <v>762</v>
      </c>
      <c r="M12" s="349" t="s">
        <v>761</v>
      </c>
      <c r="N12" s="350" t="s">
        <v>762</v>
      </c>
      <c r="O12" s="323" t="s">
        <v>763</v>
      </c>
      <c r="P12" s="561"/>
      <c r="Q12" s="561"/>
      <c r="R12" s="349" t="s">
        <v>761</v>
      </c>
      <c r="S12" s="350" t="s">
        <v>762</v>
      </c>
      <c r="T12" s="349" t="s">
        <v>761</v>
      </c>
      <c r="U12" s="350" t="s">
        <v>762</v>
      </c>
      <c r="V12" s="349" t="s">
        <v>761</v>
      </c>
      <c r="W12" s="350" t="s">
        <v>762</v>
      </c>
      <c r="X12" s="349" t="s">
        <v>761</v>
      </c>
      <c r="Y12" s="350" t="s">
        <v>762</v>
      </c>
      <c r="Z12" s="349" t="s">
        <v>761</v>
      </c>
      <c r="AA12" s="350" t="s">
        <v>762</v>
      </c>
      <c r="AB12" s="349" t="s">
        <v>761</v>
      </c>
      <c r="AC12" s="350" t="s">
        <v>762</v>
      </c>
      <c r="AD12" s="323" t="s">
        <v>763</v>
      </c>
      <c r="AE12" s="312"/>
    </row>
    <row r="13" spans="1:31" ht="77.25" customHeight="1">
      <c r="A13" s="588"/>
      <c r="B13" s="588"/>
      <c r="C13" s="324"/>
      <c r="D13" s="324"/>
      <c r="E13" s="324"/>
      <c r="F13" s="324"/>
      <c r="G13" s="324"/>
      <c r="H13" s="324"/>
      <c r="I13" s="324"/>
      <c r="J13" s="324"/>
      <c r="K13" s="324"/>
      <c r="L13" s="324"/>
      <c r="M13" s="324"/>
      <c r="N13" s="324"/>
      <c r="O13" s="324"/>
      <c r="P13" s="588"/>
      <c r="Q13" s="588"/>
      <c r="R13" s="324"/>
      <c r="S13" s="324"/>
      <c r="T13" s="324"/>
      <c r="U13" s="324"/>
      <c r="V13" s="324"/>
      <c r="W13" s="324"/>
      <c r="X13" s="324"/>
      <c r="Y13" s="324"/>
      <c r="Z13" s="324"/>
      <c r="AA13" s="324"/>
      <c r="AB13" s="324"/>
      <c r="AC13" s="324"/>
      <c r="AD13" s="325"/>
      <c r="AE13" s="312"/>
    </row>
    <row r="14" spans="1:33" ht="77.25" customHeight="1">
      <c r="A14" s="326" t="s">
        <v>18</v>
      </c>
      <c r="B14" s="327" t="s">
        <v>19</v>
      </c>
      <c r="C14" s="328">
        <v>0.08</v>
      </c>
      <c r="D14" s="329">
        <f>C14*AD14</f>
        <v>33807.4584</v>
      </c>
      <c r="E14" s="328">
        <v>0.08</v>
      </c>
      <c r="F14" s="329">
        <f>E14*AD14</f>
        <v>33807.4584</v>
      </c>
      <c r="G14" s="330">
        <v>0.08</v>
      </c>
      <c r="H14" s="329">
        <f>G14*AD14</f>
        <v>33807.4584</v>
      </c>
      <c r="I14" s="330">
        <v>0.08</v>
      </c>
      <c r="J14" s="329">
        <f>I14*AD14</f>
        <v>33807.4584</v>
      </c>
      <c r="K14" s="330">
        <v>0.11</v>
      </c>
      <c r="L14" s="329">
        <f>K14*AD14</f>
        <v>46485.255300000004</v>
      </c>
      <c r="M14" s="330">
        <v>0.11</v>
      </c>
      <c r="N14" s="329">
        <f>M14*AD14</f>
        <v>46485.255300000004</v>
      </c>
      <c r="O14" s="355">
        <f>D14+F14+H14+J14+L14+N14</f>
        <v>228200.34420000005</v>
      </c>
      <c r="P14" s="326" t="s">
        <v>18</v>
      </c>
      <c r="Q14" s="327" t="s">
        <v>19</v>
      </c>
      <c r="R14" s="330">
        <v>0.11</v>
      </c>
      <c r="S14" s="329">
        <f>R14*AD14</f>
        <v>46485.255300000004</v>
      </c>
      <c r="T14" s="330">
        <v>0.11</v>
      </c>
      <c r="U14" s="329">
        <f>T14*AD14</f>
        <v>46485.255300000004</v>
      </c>
      <c r="V14" s="330">
        <v>0.08</v>
      </c>
      <c r="W14" s="329">
        <f>V14*AD14</f>
        <v>33807.4584</v>
      </c>
      <c r="X14" s="330">
        <v>0.08</v>
      </c>
      <c r="Y14" s="329">
        <f>X14*AD14</f>
        <v>33807.4584</v>
      </c>
      <c r="Z14" s="330">
        <v>0.04</v>
      </c>
      <c r="AA14" s="329">
        <f>Z14*AD14</f>
        <v>16903.7292</v>
      </c>
      <c r="AB14" s="330">
        <v>0.04</v>
      </c>
      <c r="AC14" s="329">
        <f>AB14*AD14</f>
        <v>16903.7292</v>
      </c>
      <c r="AD14" s="331">
        <f>'PLANILHA TOTAL'!I27</f>
        <v>422593.23000000004</v>
      </c>
      <c r="AE14" s="332">
        <f>D14+F14+H14+J14+L14+N14+S14+U14+W14+Y14+AA14+AC14</f>
        <v>422593.2300000001</v>
      </c>
      <c r="AF14" s="303">
        <f>AD14-AE14</f>
        <v>0</v>
      </c>
      <c r="AG14" s="308">
        <f>AF14/AD14</f>
        <v>0</v>
      </c>
    </row>
    <row r="15" spans="1:33" ht="77.25" customHeight="1">
      <c r="A15" s="326" t="s">
        <v>20</v>
      </c>
      <c r="B15" s="333" t="s">
        <v>727</v>
      </c>
      <c r="C15" s="328">
        <v>0.04</v>
      </c>
      <c r="D15" s="329">
        <f>C15*AD15</f>
        <v>3699.7428000000004</v>
      </c>
      <c r="E15" s="328">
        <v>0.16</v>
      </c>
      <c r="F15" s="329">
        <f>E15*AD15</f>
        <v>14798.971200000002</v>
      </c>
      <c r="G15" s="330">
        <v>0.1</v>
      </c>
      <c r="H15" s="329">
        <f>G15*AD15</f>
        <v>9249.357000000002</v>
      </c>
      <c r="I15" s="330">
        <v>0.1</v>
      </c>
      <c r="J15" s="329">
        <f aca="true" t="shared" si="0" ref="J15:J20">I15*AD15</f>
        <v>9249.357000000002</v>
      </c>
      <c r="K15" s="330">
        <v>0.15</v>
      </c>
      <c r="L15" s="329">
        <f>K15*AD15</f>
        <v>13874.0355</v>
      </c>
      <c r="M15" s="330">
        <v>0.15</v>
      </c>
      <c r="N15" s="329">
        <f>M15*AD15</f>
        <v>13874.0355</v>
      </c>
      <c r="O15" s="355">
        <f aca="true" t="shared" si="1" ref="O15:O22">D15+F15+H15+J15+L15+N15</f>
        <v>64745.499</v>
      </c>
      <c r="P15" s="326" t="s">
        <v>20</v>
      </c>
      <c r="Q15" s="333" t="s">
        <v>727</v>
      </c>
      <c r="R15" s="330">
        <v>0.1</v>
      </c>
      <c r="S15" s="329">
        <f aca="true" t="shared" si="2" ref="S15:S21">R15*AD15</f>
        <v>9249.357000000002</v>
      </c>
      <c r="T15" s="330">
        <v>0.1</v>
      </c>
      <c r="U15" s="329">
        <f aca="true" t="shared" si="3" ref="U15:U20">T15*AD15</f>
        <v>9249.357000000002</v>
      </c>
      <c r="V15" s="330">
        <v>0.05</v>
      </c>
      <c r="W15" s="329">
        <f aca="true" t="shared" si="4" ref="W15:W20">V15*AD15</f>
        <v>4624.678500000001</v>
      </c>
      <c r="X15" s="330">
        <v>0.05</v>
      </c>
      <c r="Y15" s="329">
        <f aca="true" t="shared" si="5" ref="Y15:Y21">X15*AD15</f>
        <v>4624.678500000001</v>
      </c>
      <c r="Z15" s="334"/>
      <c r="AA15" s="335"/>
      <c r="AB15" s="334"/>
      <c r="AC15" s="335"/>
      <c r="AD15" s="331">
        <f>'PLANILHA TOTAL'!I31</f>
        <v>92493.57</v>
      </c>
      <c r="AE15" s="332">
        <f aca="true" t="shared" si="6" ref="AE15:AE21">D15+F15+H15+J15+L15+N15+S15+U15+W15+Y15+AA15+AC15</f>
        <v>92493.56999999999</v>
      </c>
      <c r="AF15" s="303">
        <f aca="true" t="shared" si="7" ref="AF15:AF21">AD15-AE15</f>
        <v>0</v>
      </c>
      <c r="AG15" s="308"/>
    </row>
    <row r="16" spans="1:32" ht="77.25" customHeight="1">
      <c r="A16" s="326" t="s">
        <v>21</v>
      </c>
      <c r="B16" s="327" t="s">
        <v>728</v>
      </c>
      <c r="C16" s="336">
        <v>0.03</v>
      </c>
      <c r="D16" s="329">
        <f>C16*AD16</f>
        <v>72515.6745</v>
      </c>
      <c r="E16" s="328">
        <v>0.07</v>
      </c>
      <c r="F16" s="329">
        <f>E16*AD16</f>
        <v>169203.2405</v>
      </c>
      <c r="G16" s="330">
        <v>0.1</v>
      </c>
      <c r="H16" s="329">
        <f>G16*AD16</f>
        <v>241718.915</v>
      </c>
      <c r="I16" s="330">
        <v>0.1</v>
      </c>
      <c r="J16" s="329">
        <f t="shared" si="0"/>
        <v>241718.915</v>
      </c>
      <c r="K16" s="330">
        <v>0.12</v>
      </c>
      <c r="L16" s="329">
        <f>K16*AD16</f>
        <v>290062.698</v>
      </c>
      <c r="M16" s="330">
        <v>0.12</v>
      </c>
      <c r="N16" s="329">
        <f>M16*AD16</f>
        <v>290062.698</v>
      </c>
      <c r="O16" s="355">
        <f t="shared" si="1"/>
        <v>1305282.1409999998</v>
      </c>
      <c r="P16" s="326" t="s">
        <v>21</v>
      </c>
      <c r="Q16" s="327" t="s">
        <v>728</v>
      </c>
      <c r="R16" s="330">
        <v>0.1</v>
      </c>
      <c r="S16" s="329">
        <f t="shared" si="2"/>
        <v>241718.915</v>
      </c>
      <c r="T16" s="330">
        <v>0.1</v>
      </c>
      <c r="U16" s="329">
        <f t="shared" si="3"/>
        <v>241718.915</v>
      </c>
      <c r="V16" s="330">
        <v>0.03</v>
      </c>
      <c r="W16" s="329">
        <f t="shared" si="4"/>
        <v>72515.6745</v>
      </c>
      <c r="X16" s="330">
        <v>0.03</v>
      </c>
      <c r="Y16" s="329">
        <f t="shared" si="5"/>
        <v>72515.6745</v>
      </c>
      <c r="Z16" s="330">
        <v>0.1</v>
      </c>
      <c r="AA16" s="329">
        <f>Z16*AD16</f>
        <v>241718.915</v>
      </c>
      <c r="AB16" s="330">
        <v>0.1</v>
      </c>
      <c r="AC16" s="329">
        <f>AB16*AD16</f>
        <v>241718.915</v>
      </c>
      <c r="AD16" s="331">
        <f>'PLANILHA TOTAL'!I42</f>
        <v>2417189.15</v>
      </c>
      <c r="AE16" s="332">
        <f t="shared" si="6"/>
        <v>2417189.15</v>
      </c>
      <c r="AF16" s="303">
        <f t="shared" si="7"/>
        <v>0</v>
      </c>
    </row>
    <row r="17" spans="1:32" ht="77.25" customHeight="1">
      <c r="A17" s="326" t="s">
        <v>22</v>
      </c>
      <c r="B17" s="327" t="s">
        <v>729</v>
      </c>
      <c r="C17" s="336">
        <v>0.09</v>
      </c>
      <c r="D17" s="329">
        <f>C17*AD17</f>
        <v>93130.3701</v>
      </c>
      <c r="E17" s="328">
        <v>0.1</v>
      </c>
      <c r="F17" s="329">
        <f>E17*AD17</f>
        <v>103478.18900000001</v>
      </c>
      <c r="G17" s="330">
        <v>0.075</v>
      </c>
      <c r="H17" s="329">
        <f>G17*AD17</f>
        <v>77608.64175</v>
      </c>
      <c r="I17" s="330">
        <v>0.075</v>
      </c>
      <c r="J17" s="329">
        <f t="shared" si="0"/>
        <v>77608.64175</v>
      </c>
      <c r="K17" s="330">
        <v>0.03</v>
      </c>
      <c r="L17" s="329">
        <f>K17*AD17</f>
        <v>31043.4567</v>
      </c>
      <c r="M17" s="330">
        <v>0.03</v>
      </c>
      <c r="N17" s="329">
        <f>M17*AD17</f>
        <v>31043.4567</v>
      </c>
      <c r="O17" s="355">
        <f t="shared" si="1"/>
        <v>413912.756</v>
      </c>
      <c r="P17" s="326" t="s">
        <v>22</v>
      </c>
      <c r="Q17" s="327" t="s">
        <v>729</v>
      </c>
      <c r="R17" s="330">
        <v>0.1</v>
      </c>
      <c r="S17" s="329">
        <f t="shared" si="2"/>
        <v>103478.18900000001</v>
      </c>
      <c r="T17" s="330">
        <v>0.1</v>
      </c>
      <c r="U17" s="329">
        <f t="shared" si="3"/>
        <v>103478.18900000001</v>
      </c>
      <c r="V17" s="330">
        <v>0.2</v>
      </c>
      <c r="W17" s="329">
        <f t="shared" si="4"/>
        <v>206956.37800000003</v>
      </c>
      <c r="X17" s="330">
        <v>0.2</v>
      </c>
      <c r="Y17" s="329">
        <f t="shared" si="5"/>
        <v>206956.37800000003</v>
      </c>
      <c r="Z17" s="334"/>
      <c r="AA17" s="335"/>
      <c r="AB17" s="334"/>
      <c r="AC17" s="335"/>
      <c r="AD17" s="331">
        <f>'PLANILHA TOTAL'!I70</f>
        <v>1034781.89</v>
      </c>
      <c r="AE17" s="332">
        <f t="shared" si="6"/>
        <v>1034781.8900000001</v>
      </c>
      <c r="AF17" s="303">
        <f t="shared" si="7"/>
        <v>0</v>
      </c>
    </row>
    <row r="18" spans="1:32" ht="77.25" customHeight="1">
      <c r="A18" s="326" t="s">
        <v>23</v>
      </c>
      <c r="B18" s="327" t="s">
        <v>744</v>
      </c>
      <c r="C18" s="337"/>
      <c r="D18" s="335"/>
      <c r="E18" s="337"/>
      <c r="F18" s="335"/>
      <c r="G18" s="334"/>
      <c r="H18" s="335"/>
      <c r="I18" s="334"/>
      <c r="J18" s="335"/>
      <c r="K18" s="334"/>
      <c r="L18" s="335"/>
      <c r="M18" s="334"/>
      <c r="N18" s="335"/>
      <c r="O18" s="355">
        <f t="shared" si="1"/>
        <v>0</v>
      </c>
      <c r="P18" s="326" t="s">
        <v>23</v>
      </c>
      <c r="Q18" s="327" t="s">
        <v>744</v>
      </c>
      <c r="R18" s="330">
        <v>0.2</v>
      </c>
      <c r="S18" s="329">
        <f t="shared" si="2"/>
        <v>193982.63400000002</v>
      </c>
      <c r="T18" s="330">
        <v>0.2</v>
      </c>
      <c r="U18" s="329">
        <f t="shared" si="3"/>
        <v>193982.63400000002</v>
      </c>
      <c r="V18" s="330">
        <v>0.15</v>
      </c>
      <c r="W18" s="329">
        <f t="shared" si="4"/>
        <v>145486.9755</v>
      </c>
      <c r="X18" s="330">
        <v>0.05</v>
      </c>
      <c r="Y18" s="329">
        <f t="shared" si="5"/>
        <v>48495.658500000005</v>
      </c>
      <c r="Z18" s="330">
        <v>0.15</v>
      </c>
      <c r="AA18" s="329">
        <f>Z18*AD18</f>
        <v>145486.9755</v>
      </c>
      <c r="AB18" s="330">
        <v>0.25</v>
      </c>
      <c r="AC18" s="329">
        <f>AB18*AD18</f>
        <v>242478.2925</v>
      </c>
      <c r="AD18" s="331">
        <f>'PLANILHA TOTAL'!I78</f>
        <v>969913.17</v>
      </c>
      <c r="AE18" s="332">
        <f t="shared" si="6"/>
        <v>969913.1700000002</v>
      </c>
      <c r="AF18" s="303">
        <f t="shared" si="7"/>
        <v>0</v>
      </c>
    </row>
    <row r="19" spans="1:32" ht="77.25" customHeight="1">
      <c r="A19" s="326" t="s">
        <v>24</v>
      </c>
      <c r="B19" s="327" t="s">
        <v>745</v>
      </c>
      <c r="C19" s="337"/>
      <c r="D19" s="337"/>
      <c r="E19" s="337"/>
      <c r="F19" s="335"/>
      <c r="G19" s="330">
        <v>0.35</v>
      </c>
      <c r="H19" s="329">
        <f>G19*AD19</f>
        <v>58302.275499999996</v>
      </c>
      <c r="I19" s="334"/>
      <c r="J19" s="335"/>
      <c r="K19" s="330">
        <v>0.2</v>
      </c>
      <c r="L19" s="329">
        <f>K19*AD19</f>
        <v>33315.586</v>
      </c>
      <c r="M19" s="334"/>
      <c r="N19" s="335"/>
      <c r="O19" s="355">
        <f t="shared" si="1"/>
        <v>91617.8615</v>
      </c>
      <c r="P19" s="326" t="s">
        <v>24</v>
      </c>
      <c r="Q19" s="327" t="s">
        <v>745</v>
      </c>
      <c r="R19" s="330">
        <v>0.3</v>
      </c>
      <c r="S19" s="329">
        <f t="shared" si="2"/>
        <v>49973.37899999999</v>
      </c>
      <c r="T19" s="334"/>
      <c r="U19" s="335"/>
      <c r="V19" s="334"/>
      <c r="W19" s="335"/>
      <c r="X19" s="334"/>
      <c r="Y19" s="335"/>
      <c r="Z19" s="334"/>
      <c r="AA19" s="335"/>
      <c r="AB19" s="330">
        <v>0.15</v>
      </c>
      <c r="AC19" s="329">
        <f>AB19*AD19</f>
        <v>24986.689499999997</v>
      </c>
      <c r="AD19" s="331">
        <f>'PLANILHA TOTAL'!I85</f>
        <v>166577.93</v>
      </c>
      <c r="AE19" s="332">
        <f t="shared" si="6"/>
        <v>166577.93</v>
      </c>
      <c r="AF19" s="303">
        <f t="shared" si="7"/>
        <v>0</v>
      </c>
    </row>
    <row r="20" spans="1:32" ht="77.25" customHeight="1">
      <c r="A20" s="326" t="s">
        <v>25</v>
      </c>
      <c r="B20" s="327" t="s">
        <v>746</v>
      </c>
      <c r="C20" s="336">
        <v>0.1</v>
      </c>
      <c r="D20" s="329">
        <f>C20*AD20</f>
        <v>73583.289</v>
      </c>
      <c r="E20" s="328">
        <v>0.1</v>
      </c>
      <c r="F20" s="329">
        <f>E20*AD20</f>
        <v>73583.289</v>
      </c>
      <c r="G20" s="330">
        <v>0.095</v>
      </c>
      <c r="H20" s="329">
        <f>G20*AD20</f>
        <v>69904.12455000001</v>
      </c>
      <c r="I20" s="330">
        <v>0.095</v>
      </c>
      <c r="J20" s="329">
        <f t="shared" si="0"/>
        <v>69904.12455000001</v>
      </c>
      <c r="K20" s="330">
        <v>0.07</v>
      </c>
      <c r="L20" s="329">
        <f>K20*AD20</f>
        <v>51508.3023</v>
      </c>
      <c r="M20" s="330">
        <v>0.07</v>
      </c>
      <c r="N20" s="329">
        <f>M20*AD20</f>
        <v>51508.3023</v>
      </c>
      <c r="O20" s="355">
        <f t="shared" si="1"/>
        <v>389991.43169999996</v>
      </c>
      <c r="P20" s="326" t="s">
        <v>25</v>
      </c>
      <c r="Q20" s="327" t="s">
        <v>746</v>
      </c>
      <c r="R20" s="330">
        <v>0.1</v>
      </c>
      <c r="S20" s="329">
        <f t="shared" si="2"/>
        <v>73583.289</v>
      </c>
      <c r="T20" s="330">
        <v>0.1</v>
      </c>
      <c r="U20" s="329">
        <f t="shared" si="3"/>
        <v>73583.289</v>
      </c>
      <c r="V20" s="330">
        <v>0.09</v>
      </c>
      <c r="W20" s="329">
        <f t="shared" si="4"/>
        <v>66224.9601</v>
      </c>
      <c r="X20" s="330">
        <v>0.05</v>
      </c>
      <c r="Y20" s="329">
        <f t="shared" si="5"/>
        <v>36791.6445</v>
      </c>
      <c r="Z20" s="330">
        <v>0.1</v>
      </c>
      <c r="AA20" s="329">
        <f>Z20*AD20</f>
        <v>73583.289</v>
      </c>
      <c r="AB20" s="330">
        <v>0.03</v>
      </c>
      <c r="AC20" s="329">
        <f>AB20*AD20</f>
        <v>22074.9867</v>
      </c>
      <c r="AD20" s="331">
        <f>'PLANILHA TOTAL'!I94</f>
        <v>735832.89</v>
      </c>
      <c r="AE20" s="332">
        <f t="shared" si="6"/>
        <v>735832.89</v>
      </c>
      <c r="AF20" s="303">
        <f t="shared" si="7"/>
        <v>0</v>
      </c>
    </row>
    <row r="21" spans="1:32" ht="77.25" customHeight="1">
      <c r="A21" s="326" t="s">
        <v>678</v>
      </c>
      <c r="B21" s="327" t="s">
        <v>679</v>
      </c>
      <c r="C21" s="337"/>
      <c r="D21" s="335"/>
      <c r="E21" s="337"/>
      <c r="F21" s="335"/>
      <c r="G21" s="330">
        <v>0.015</v>
      </c>
      <c r="H21" s="329">
        <f>G21*AD21</f>
        <v>208.27859999999998</v>
      </c>
      <c r="I21" s="334"/>
      <c r="J21" s="335"/>
      <c r="K21" s="330">
        <v>0.015</v>
      </c>
      <c r="L21" s="329">
        <f>K21*AD21</f>
        <v>208.27859999999998</v>
      </c>
      <c r="M21" s="334"/>
      <c r="N21" s="335"/>
      <c r="O21" s="355">
        <f t="shared" si="1"/>
        <v>416.55719999999997</v>
      </c>
      <c r="P21" s="326" t="s">
        <v>678</v>
      </c>
      <c r="Q21" s="327" t="s">
        <v>679</v>
      </c>
      <c r="R21" s="330">
        <v>0.015</v>
      </c>
      <c r="S21" s="329">
        <f t="shared" si="2"/>
        <v>208.27859999999998</v>
      </c>
      <c r="T21" s="334"/>
      <c r="U21" s="335"/>
      <c r="V21" s="334"/>
      <c r="W21" s="335"/>
      <c r="X21" s="330">
        <v>0.015</v>
      </c>
      <c r="Y21" s="329">
        <f t="shared" si="5"/>
        <v>208.27859999999998</v>
      </c>
      <c r="Z21" s="330">
        <v>0.47</v>
      </c>
      <c r="AA21" s="329">
        <f>Z21*AD21</f>
        <v>6526.0628</v>
      </c>
      <c r="AB21" s="330">
        <v>0.47</v>
      </c>
      <c r="AC21" s="329">
        <f>AB21*AD21</f>
        <v>6526.0628</v>
      </c>
      <c r="AD21" s="331">
        <f>'PLANILHA TOTAL'!I98</f>
        <v>13885.24</v>
      </c>
      <c r="AE21" s="332">
        <f t="shared" si="6"/>
        <v>13885.24</v>
      </c>
      <c r="AF21" s="303">
        <f t="shared" si="7"/>
        <v>0</v>
      </c>
    </row>
    <row r="22" spans="1:31" ht="77.25" customHeight="1">
      <c r="A22" s="338"/>
      <c r="B22" s="339"/>
      <c r="C22" s="340"/>
      <c r="D22" s="341"/>
      <c r="E22" s="341"/>
      <c r="F22" s="341"/>
      <c r="G22" s="341"/>
      <c r="H22" s="341"/>
      <c r="I22" s="342"/>
      <c r="J22" s="341"/>
      <c r="K22" s="342"/>
      <c r="L22" s="341"/>
      <c r="M22" s="342"/>
      <c r="N22" s="341"/>
      <c r="O22" s="329">
        <f t="shared" si="1"/>
        <v>0</v>
      </c>
      <c r="P22" s="338"/>
      <c r="Q22" s="339"/>
      <c r="R22" s="342"/>
      <c r="S22" s="341"/>
      <c r="T22" s="342"/>
      <c r="U22" s="341"/>
      <c r="V22" s="343"/>
      <c r="W22" s="341"/>
      <c r="X22" s="343"/>
      <c r="Y22" s="341"/>
      <c r="Z22" s="343"/>
      <c r="AA22" s="341"/>
      <c r="AB22" s="343"/>
      <c r="AC22" s="341"/>
      <c r="AD22" s="344">
        <f>SUM(AD14:AD21)</f>
        <v>5853267.07</v>
      </c>
      <c r="AE22" s="332">
        <f>D22+F22+H22+J22+L22+N22+S22+U22+W22+Y22+AA22+AC22</f>
        <v>0</v>
      </c>
    </row>
    <row r="23" spans="1:31" ht="77.25" customHeight="1">
      <c r="A23" s="582" t="s">
        <v>764</v>
      </c>
      <c r="B23" s="583"/>
      <c r="C23" s="580">
        <f>SUM(D14:D21)</f>
        <v>276736.5348</v>
      </c>
      <c r="D23" s="581"/>
      <c r="E23" s="580">
        <f>SUM(F14:F21)</f>
        <v>394871.1481</v>
      </c>
      <c r="F23" s="581"/>
      <c r="G23" s="580">
        <f>SUM(H14:H21)</f>
        <v>490799.0508</v>
      </c>
      <c r="H23" s="581"/>
      <c r="I23" s="580">
        <f>SUM(J14:J21)</f>
        <v>432288.4967</v>
      </c>
      <c r="J23" s="581"/>
      <c r="K23" s="580">
        <f>SUM(L14:L21)</f>
        <v>466497.6124</v>
      </c>
      <c r="L23" s="581"/>
      <c r="M23" s="580">
        <f>SUM(N14:N21)</f>
        <v>432973.74779999995</v>
      </c>
      <c r="N23" s="581"/>
      <c r="O23" s="351"/>
      <c r="P23" s="582" t="s">
        <v>764</v>
      </c>
      <c r="Q23" s="583"/>
      <c r="R23" s="580">
        <f>SUM(S14:S21)</f>
        <v>718679.2969</v>
      </c>
      <c r="S23" s="581"/>
      <c r="T23" s="580">
        <f>SUM(U14:U21)</f>
        <v>668497.6393</v>
      </c>
      <c r="U23" s="581"/>
      <c r="V23" s="580">
        <f>SUM(W14:W21)</f>
        <v>529616.125</v>
      </c>
      <c r="W23" s="581"/>
      <c r="X23" s="580">
        <f>SUM(Y14:Y21)</f>
        <v>403399.77100000007</v>
      </c>
      <c r="Y23" s="581"/>
      <c r="Z23" s="580">
        <f>SUM(AA14:AA21)</f>
        <v>484218.97150000004</v>
      </c>
      <c r="AA23" s="581"/>
      <c r="AB23" s="580">
        <f>SUM(AC14:AC21)</f>
        <v>554688.6757</v>
      </c>
      <c r="AC23" s="581"/>
      <c r="AD23" s="345"/>
      <c r="AE23" s="312"/>
    </row>
    <row r="24" spans="1:31" ht="77.25" customHeight="1">
      <c r="A24" s="582" t="s">
        <v>765</v>
      </c>
      <c r="B24" s="583"/>
      <c r="C24" s="576">
        <f>C23</f>
        <v>276736.5348</v>
      </c>
      <c r="D24" s="577"/>
      <c r="E24" s="576">
        <f>C24+E23</f>
        <v>671607.6829</v>
      </c>
      <c r="F24" s="577"/>
      <c r="G24" s="576">
        <f>E24+G23</f>
        <v>1162406.7337</v>
      </c>
      <c r="H24" s="577"/>
      <c r="I24" s="576">
        <f>G24+I23</f>
        <v>1594695.2304</v>
      </c>
      <c r="J24" s="577"/>
      <c r="K24" s="576">
        <f>I24+K23</f>
        <v>2061192.8428</v>
      </c>
      <c r="L24" s="577"/>
      <c r="M24" s="576">
        <f>K24+M23</f>
        <v>2494166.5905999998</v>
      </c>
      <c r="N24" s="577"/>
      <c r="O24" s="352"/>
      <c r="P24" s="582" t="s">
        <v>765</v>
      </c>
      <c r="Q24" s="583"/>
      <c r="R24" s="576">
        <f>M24+R23</f>
        <v>3212845.8874999997</v>
      </c>
      <c r="S24" s="577"/>
      <c r="T24" s="576">
        <f>R24+T23</f>
        <v>3881343.5267999996</v>
      </c>
      <c r="U24" s="577"/>
      <c r="V24" s="576">
        <f>T24+V23</f>
        <v>4410959.651799999</v>
      </c>
      <c r="W24" s="577"/>
      <c r="X24" s="576">
        <f>V24+X23</f>
        <v>4814359.422799999</v>
      </c>
      <c r="Y24" s="577"/>
      <c r="Z24" s="576">
        <f>X24+Z23</f>
        <v>5298578.394299999</v>
      </c>
      <c r="AA24" s="577"/>
      <c r="AB24" s="576">
        <f>Z24+AB23</f>
        <v>5853267.069999998</v>
      </c>
      <c r="AC24" s="577"/>
      <c r="AD24" s="346"/>
      <c r="AE24" s="312"/>
    </row>
    <row r="25" spans="1:31" ht="77.25" customHeight="1">
      <c r="A25" s="584" t="s">
        <v>766</v>
      </c>
      <c r="B25" s="585"/>
      <c r="C25" s="578">
        <f>C23/AD22</f>
        <v>0.04727898650283183</v>
      </c>
      <c r="D25" s="579"/>
      <c r="E25" s="578">
        <f>E23/AD22</f>
        <v>0.06746166600253899</v>
      </c>
      <c r="F25" s="579"/>
      <c r="G25" s="578">
        <f>G23/AD22</f>
        <v>0.08385044538895438</v>
      </c>
      <c r="H25" s="579"/>
      <c r="I25" s="578">
        <f>I23/AD22</f>
        <v>0.07385422389414396</v>
      </c>
      <c r="J25" s="579"/>
      <c r="K25" s="578">
        <f>K23/AD22</f>
        <v>0.07969867201019412</v>
      </c>
      <c r="L25" s="579"/>
      <c r="M25" s="578">
        <f>M23/AD22</f>
        <v>0.07397129545295118</v>
      </c>
      <c r="N25" s="579"/>
      <c r="O25" s="353"/>
      <c r="P25" s="584" t="s">
        <v>766</v>
      </c>
      <c r="Q25" s="585"/>
      <c r="R25" s="578">
        <f>R23/AD22</f>
        <v>0.12278259103936631</v>
      </c>
      <c r="S25" s="579"/>
      <c r="T25" s="578">
        <f>T23/AD22</f>
        <v>0.11420931785707841</v>
      </c>
      <c r="U25" s="579"/>
      <c r="V25" s="578">
        <f>V23/AD22</f>
        <v>0.09048213906289432</v>
      </c>
      <c r="W25" s="579"/>
      <c r="X25" s="578">
        <f>X23/AD22</f>
        <v>0.06891873652366934</v>
      </c>
      <c r="Y25" s="579"/>
      <c r="Z25" s="578">
        <f>Z23/AD22</f>
        <v>0.08272627332892227</v>
      </c>
      <c r="AA25" s="579"/>
      <c r="AB25" s="578">
        <f>AB23/AD22</f>
        <v>0.09476565293645485</v>
      </c>
      <c r="AC25" s="579"/>
      <c r="AD25" s="347"/>
      <c r="AE25" s="312"/>
    </row>
    <row r="26" spans="1:31" ht="77.25" customHeight="1">
      <c r="A26" s="584" t="s">
        <v>767</v>
      </c>
      <c r="B26" s="585"/>
      <c r="C26" s="578">
        <f>C25</f>
        <v>0.04727898650283183</v>
      </c>
      <c r="D26" s="579"/>
      <c r="E26" s="563">
        <f>C26+E25</f>
        <v>0.11474065250537081</v>
      </c>
      <c r="F26" s="562"/>
      <c r="G26" s="563">
        <f>E26+G25</f>
        <v>0.1985910978943252</v>
      </c>
      <c r="H26" s="562"/>
      <c r="I26" s="563">
        <f>G26+I25</f>
        <v>0.27244532178846914</v>
      </c>
      <c r="J26" s="562"/>
      <c r="K26" s="563">
        <f>I26+K25</f>
        <v>0.35214399379866324</v>
      </c>
      <c r="L26" s="562"/>
      <c r="M26" s="563">
        <f>K26+M25</f>
        <v>0.4261152892516144</v>
      </c>
      <c r="N26" s="562"/>
      <c r="O26" s="322"/>
      <c r="P26" s="584" t="s">
        <v>767</v>
      </c>
      <c r="Q26" s="585"/>
      <c r="R26" s="563">
        <f>M26+R25</f>
        <v>0.5488978802909807</v>
      </c>
      <c r="S26" s="562"/>
      <c r="T26" s="563">
        <f>R26+T25</f>
        <v>0.6631071981480592</v>
      </c>
      <c r="U26" s="562"/>
      <c r="V26" s="563">
        <f>T26+V25</f>
        <v>0.7535893372109534</v>
      </c>
      <c r="W26" s="562"/>
      <c r="X26" s="563">
        <f>V26+X25</f>
        <v>0.8225080737346228</v>
      </c>
      <c r="Y26" s="562"/>
      <c r="Z26" s="563">
        <f>X26+Z25</f>
        <v>0.905234347063545</v>
      </c>
      <c r="AA26" s="562"/>
      <c r="AB26" s="563">
        <f>Z26+AB25</f>
        <v>0.9999999999999999</v>
      </c>
      <c r="AC26" s="562"/>
      <c r="AD26" s="348"/>
      <c r="AE26" s="312"/>
    </row>
    <row r="28" spans="4:8" ht="25.5">
      <c r="D28" s="306"/>
      <c r="E28" s="306"/>
      <c r="F28" s="306"/>
      <c r="G28" s="306"/>
      <c r="H28" s="306"/>
    </row>
  </sheetData>
  <sheetProtection/>
  <mergeCells count="94">
    <mergeCell ref="P26:Q26"/>
    <mergeCell ref="P1:V1"/>
    <mergeCell ref="P2:V2"/>
    <mergeCell ref="P3:V3"/>
    <mergeCell ref="P4:V4"/>
    <mergeCell ref="P5:V5"/>
    <mergeCell ref="P6:V6"/>
    <mergeCell ref="P7:V7"/>
    <mergeCell ref="P8:V8"/>
    <mergeCell ref="E11:F11"/>
    <mergeCell ref="G11:H11"/>
    <mergeCell ref="A1:G1"/>
    <mergeCell ref="A2:G2"/>
    <mergeCell ref="P13:Q13"/>
    <mergeCell ref="P23:Q23"/>
    <mergeCell ref="A13:B13"/>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I11:J11"/>
    <mergeCell ref="K11:L11"/>
    <mergeCell ref="I24:J24"/>
    <mergeCell ref="K24:L24"/>
    <mergeCell ref="I26:J26"/>
    <mergeCell ref="K26:L26"/>
    <mergeCell ref="AB23:AC23"/>
    <mergeCell ref="M11:N11"/>
    <mergeCell ref="R11:S11"/>
    <mergeCell ref="T11:U11"/>
    <mergeCell ref="V11:W11"/>
    <mergeCell ref="P10:P12"/>
    <mergeCell ref="Q10:Q12"/>
    <mergeCell ref="I23:J23"/>
    <mergeCell ref="K23:L23"/>
    <mergeCell ref="M23:N23"/>
    <mergeCell ref="R23:S23"/>
    <mergeCell ref="X23:Y23"/>
    <mergeCell ref="Z23:AA23"/>
    <mergeCell ref="I25:J25"/>
    <mergeCell ref="K25:L25"/>
    <mergeCell ref="M25:N25"/>
    <mergeCell ref="R25:S25"/>
    <mergeCell ref="P24:Q24"/>
    <mergeCell ref="P25:Q25"/>
    <mergeCell ref="M26:N26"/>
    <mergeCell ref="R26:S26"/>
    <mergeCell ref="T23:U23"/>
    <mergeCell ref="V23:W23"/>
    <mergeCell ref="T24:U24"/>
    <mergeCell ref="V24:W24"/>
    <mergeCell ref="T26:U26"/>
    <mergeCell ref="V26:W26"/>
    <mergeCell ref="M24:N24"/>
    <mergeCell ref="R24:S24"/>
    <mergeCell ref="Z24:AA24"/>
    <mergeCell ref="AB24:AC24"/>
    <mergeCell ref="T25:U25"/>
    <mergeCell ref="V25:W25"/>
    <mergeCell ref="X25:Y25"/>
    <mergeCell ref="Z25:AA25"/>
    <mergeCell ref="AB25:AC25"/>
    <mergeCell ref="X26:Y26"/>
    <mergeCell ref="Z26:AA26"/>
    <mergeCell ref="AB26:AC26"/>
    <mergeCell ref="A3:G3"/>
    <mergeCell ref="A4:G4"/>
    <mergeCell ref="A5:G5"/>
    <mergeCell ref="A6:G6"/>
    <mergeCell ref="A7:G7"/>
    <mergeCell ref="A8:G8"/>
    <mergeCell ref="X24:Y24"/>
    <mergeCell ref="A9:N9"/>
    <mergeCell ref="P9:AC9"/>
    <mergeCell ref="C10:N10"/>
    <mergeCell ref="R10:AC10"/>
    <mergeCell ref="A10:A12"/>
    <mergeCell ref="B10:B12"/>
    <mergeCell ref="C11:D11"/>
    <mergeCell ref="X11:Y11"/>
    <mergeCell ref="Z11:AA11"/>
    <mergeCell ref="AB11:AC11"/>
  </mergeCells>
  <printOptions horizontalCentered="1" verticalCentered="1"/>
  <pageMargins left="0.3937007874015748" right="0.3937007874015748" top="0.984251968503937" bottom="0.3937007874015748" header="0" footer="0"/>
  <pageSetup horizontalDpi="300" verticalDpi="300" orientation="landscape" paperSize="9" scale="23" r:id="rId2"/>
  <headerFooter alignWithMargins="0">
    <oddFooter>&amp;C&amp;14&amp;A&amp;R&amp;14Página &amp;P de &amp;N</oddFooter>
  </headerFooter>
  <colBreaks count="1" manualBreakCount="1">
    <brk id="15" max="2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 Antonio Nicolau Macedo Cunha</dc:creator>
  <cp:keywords/>
  <dc:description/>
  <cp:lastModifiedBy>Thais da Silva Miranda</cp:lastModifiedBy>
  <cp:lastPrinted>2018-12-11T12:55:32Z</cp:lastPrinted>
  <dcterms:created xsi:type="dcterms:W3CDTF">2017-11-22T13:14:51Z</dcterms:created>
  <dcterms:modified xsi:type="dcterms:W3CDTF">2020-05-05T17:30:49Z</dcterms:modified>
  <cp:category/>
  <cp:version/>
  <cp:contentType/>
  <cp:contentStatus/>
</cp:coreProperties>
</file>